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9660" windowHeight="5490"/>
  </bookViews>
  <sheets>
    <sheet name="Krycí list rozpočtu" sheetId="5" r:id="rId1"/>
    <sheet name="Rozpočet - Jen objekty celkem" sheetId="3" r:id="rId2"/>
    <sheet name="Rozpočet - Jen podskupiny" sheetId="2" r:id="rId3"/>
    <sheet name="Rozpočet - vybrané sloupce" sheetId="1" r:id="rId4"/>
    <sheet name="Výkaz výměr" sheetId="4" r:id="rId5"/>
    <sheet name="Stavební rozpočet" sheetId="6" state="veryHidden" r:id="rId6"/>
  </sheets>
  <calcPr calcId="124519"/>
</workbook>
</file>

<file path=xl/calcChain.xml><?xml version="1.0" encoding="utf-8"?>
<calcChain xmlns="http://schemas.openxmlformats.org/spreadsheetml/2006/main">
  <c r="C2" i="5"/>
  <c r="F2"/>
  <c r="C4"/>
  <c r="F4"/>
  <c r="C6"/>
  <c r="F6"/>
  <c r="C8"/>
  <c r="F8"/>
  <c r="C10"/>
  <c r="F10"/>
  <c r="I10"/>
  <c r="F22"/>
  <c r="I22"/>
  <c r="D2" i="3"/>
  <c r="G2"/>
  <c r="J2"/>
  <c r="D4"/>
  <c r="G4"/>
  <c r="J4"/>
  <c r="D6"/>
  <c r="G6"/>
  <c r="J6"/>
  <c r="D8"/>
  <c r="G8"/>
  <c r="J8"/>
  <c r="N12"/>
  <c r="N13"/>
  <c r="D2" i="2"/>
  <c r="G2"/>
  <c r="J2"/>
  <c r="D4"/>
  <c r="G4"/>
  <c r="J4"/>
  <c r="D6"/>
  <c r="G6"/>
  <c r="J6"/>
  <c r="D8"/>
  <c r="G8"/>
  <c r="J8"/>
  <c r="N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N39"/>
  <c r="P40"/>
  <c r="P41"/>
  <c r="P42"/>
  <c r="P43"/>
  <c r="P44"/>
  <c r="P45"/>
  <c r="P46"/>
  <c r="P47"/>
  <c r="P48"/>
  <c r="P49"/>
  <c r="P50"/>
  <c r="P51"/>
  <c r="P52"/>
  <c r="F2" i="1"/>
  <c r="AQ2"/>
  <c r="BD2"/>
  <c r="F4"/>
  <c r="AQ4"/>
  <c r="BD4"/>
  <c r="F6"/>
  <c r="AQ6"/>
  <c r="BD6"/>
  <c r="F8"/>
  <c r="AQ8"/>
  <c r="BD8"/>
  <c r="BA11"/>
  <c r="BA12"/>
  <c r="BA13"/>
  <c r="IR13"/>
  <c r="IS13"/>
  <c r="BA14"/>
  <c r="IR14"/>
  <c r="IS14"/>
  <c r="BA15"/>
  <c r="IR15"/>
  <c r="IS15"/>
  <c r="BA16"/>
  <c r="IR16"/>
  <c r="IS16"/>
  <c r="BA17"/>
  <c r="IR17"/>
  <c r="IS17"/>
  <c r="BA18"/>
  <c r="IR18"/>
  <c r="IS18"/>
  <c r="BA19"/>
  <c r="IR19"/>
  <c r="IS19"/>
  <c r="BA20"/>
  <c r="IR20"/>
  <c r="IS20"/>
  <c r="BA21"/>
  <c r="IR21"/>
  <c r="IS21"/>
  <c r="BA22"/>
  <c r="IR22"/>
  <c r="IS22"/>
  <c r="BA23"/>
  <c r="BA24"/>
  <c r="IR24"/>
  <c r="IS24"/>
  <c r="BA25"/>
  <c r="IR25"/>
  <c r="IS25"/>
  <c r="BA26"/>
  <c r="IR26"/>
  <c r="IS26"/>
  <c r="BA27"/>
  <c r="IR27"/>
  <c r="IS27"/>
  <c r="BA28"/>
  <c r="IR28"/>
  <c r="IS28"/>
  <c r="BA29"/>
  <c r="IR29"/>
  <c r="IS29"/>
  <c r="BA30"/>
  <c r="BA31"/>
  <c r="IR31"/>
  <c r="IS31"/>
  <c r="BA32"/>
  <c r="IR32"/>
  <c r="IS32"/>
  <c r="BA33"/>
  <c r="IR33"/>
  <c r="IS33"/>
  <c r="BA34"/>
  <c r="BA35"/>
  <c r="IR35"/>
  <c r="IS35"/>
  <c r="BA36"/>
  <c r="IR36"/>
  <c r="IS36"/>
  <c r="BA37"/>
  <c r="BA38"/>
  <c r="IR38"/>
  <c r="IS38"/>
  <c r="BA39"/>
  <c r="IR39"/>
  <c r="IS39"/>
  <c r="BA40"/>
  <c r="IR40"/>
  <c r="IS40"/>
  <c r="BA41"/>
  <c r="IR41"/>
  <c r="IS41"/>
  <c r="BA42"/>
  <c r="IR42"/>
  <c r="IS42"/>
  <c r="BA43"/>
  <c r="IR43"/>
  <c r="IS43"/>
  <c r="BA44"/>
  <c r="BA45"/>
  <c r="IR45"/>
  <c r="IS45"/>
  <c r="BA46"/>
  <c r="IR46"/>
  <c r="IS46"/>
  <c r="BA47"/>
  <c r="IR47"/>
  <c r="IS47"/>
  <c r="BA48"/>
  <c r="IR48"/>
  <c r="IS48"/>
  <c r="BA49"/>
  <c r="BA50"/>
  <c r="IR50"/>
  <c r="IS50"/>
  <c r="BA51"/>
  <c r="BA52"/>
  <c r="IR52"/>
  <c r="IS52"/>
  <c r="BA53"/>
  <c r="IR53"/>
  <c r="IS53"/>
  <c r="BA54"/>
  <c r="IR54"/>
  <c r="IS54"/>
  <c r="BA55"/>
  <c r="IR55"/>
  <c r="IS55"/>
  <c r="BA56"/>
  <c r="IR56"/>
  <c r="IS56"/>
  <c r="BA57"/>
  <c r="IR57"/>
  <c r="IS57"/>
  <c r="BA58"/>
  <c r="IR58"/>
  <c r="IS58"/>
  <c r="BA59"/>
  <c r="IR59"/>
  <c r="IS59"/>
  <c r="BA60"/>
  <c r="IR60"/>
  <c r="IS60"/>
  <c r="BA62"/>
  <c r="IR62"/>
  <c r="IS62"/>
  <c r="BA63"/>
  <c r="IR63"/>
  <c r="IS63"/>
  <c r="BA64"/>
  <c r="IR64"/>
  <c r="IS64"/>
  <c r="BA65"/>
  <c r="IR65"/>
  <c r="IS65"/>
  <c r="BA66"/>
  <c r="IR66"/>
  <c r="IS66"/>
  <c r="BA67"/>
  <c r="IR67"/>
  <c r="IS67"/>
  <c r="BA68"/>
  <c r="IR68"/>
  <c r="IS68"/>
  <c r="BA69"/>
  <c r="IR69"/>
  <c r="IS69"/>
  <c r="BA70"/>
  <c r="IR70"/>
  <c r="IS70"/>
  <c r="BA71"/>
  <c r="IR71"/>
  <c r="IS71"/>
  <c r="BA72"/>
  <c r="IR72"/>
  <c r="IS72"/>
  <c r="BA73"/>
  <c r="IR73"/>
  <c r="IS73"/>
  <c r="BA74"/>
  <c r="IR74"/>
  <c r="IS74"/>
  <c r="BA75"/>
  <c r="IR75"/>
  <c r="IS75"/>
  <c r="BA76"/>
  <c r="IR76"/>
  <c r="IS76"/>
  <c r="BA77"/>
  <c r="IR77"/>
  <c r="IS77"/>
  <c r="BA78"/>
  <c r="IR78"/>
  <c r="IS78"/>
  <c r="BA79"/>
  <c r="IR79"/>
  <c r="IS79"/>
  <c r="BA80"/>
  <c r="IR80"/>
  <c r="IS80"/>
  <c r="BA81"/>
  <c r="IR81"/>
  <c r="IS81"/>
  <c r="BA82"/>
  <c r="IR82"/>
  <c r="IS82"/>
  <c r="BA83"/>
  <c r="IR83"/>
  <c r="IS83"/>
  <c r="BA84"/>
  <c r="IR84"/>
  <c r="IS84"/>
  <c r="BA85"/>
  <c r="IR85"/>
  <c r="IS85"/>
  <c r="BA86"/>
  <c r="IR86"/>
  <c r="IS86"/>
  <c r="BA87"/>
  <c r="IR87"/>
  <c r="IS87"/>
  <c r="BA88"/>
  <c r="IR88"/>
  <c r="IS88"/>
  <c r="BA89"/>
  <c r="IR89"/>
  <c r="IS89"/>
  <c r="BA90"/>
  <c r="IR90"/>
  <c r="IS90"/>
  <c r="BA91"/>
  <c r="IR91"/>
  <c r="IS91"/>
  <c r="BA92"/>
  <c r="IR92"/>
  <c r="IS92"/>
  <c r="BA93"/>
  <c r="IR93"/>
  <c r="IS93"/>
  <c r="BA94"/>
  <c r="IR94"/>
  <c r="IS94"/>
  <c r="BA95"/>
  <c r="IR95"/>
  <c r="IS95"/>
  <c r="BA96"/>
  <c r="IR96"/>
  <c r="IS96"/>
  <c r="BA97"/>
  <c r="IR97"/>
  <c r="IS97"/>
  <c r="BA98"/>
  <c r="IR98"/>
  <c r="IS98"/>
  <c r="BA99"/>
  <c r="IR99"/>
  <c r="IS99"/>
  <c r="BA100"/>
  <c r="IR100"/>
  <c r="IS100"/>
  <c r="BA101"/>
  <c r="IR101"/>
  <c r="IS101"/>
  <c r="BA102"/>
  <c r="IR102"/>
  <c r="IS102"/>
  <c r="BA103"/>
  <c r="IR103"/>
  <c r="IS103"/>
  <c r="BA104"/>
  <c r="IR104"/>
  <c r="IS104"/>
  <c r="BA105"/>
  <c r="IR105"/>
  <c r="IS105"/>
  <c r="BA106"/>
  <c r="IR106"/>
  <c r="IS106"/>
  <c r="BA107"/>
  <c r="IR107"/>
  <c r="IS107"/>
  <c r="BA108"/>
  <c r="IR108"/>
  <c r="IS108"/>
  <c r="BA109"/>
  <c r="IR109"/>
  <c r="IS109"/>
  <c r="BA110"/>
  <c r="IR110"/>
  <c r="IS110"/>
  <c r="BA111"/>
  <c r="IR111"/>
  <c r="IS111"/>
  <c r="BA112"/>
  <c r="IR112"/>
  <c r="IS112"/>
  <c r="BA113"/>
  <c r="IR113"/>
  <c r="IS113"/>
  <c r="BA114"/>
  <c r="IR114"/>
  <c r="IS114"/>
  <c r="BA115"/>
  <c r="IR115"/>
  <c r="IS115"/>
  <c r="BA116"/>
  <c r="BA117"/>
  <c r="IR117"/>
  <c r="IS117"/>
  <c r="BA118"/>
  <c r="IR118"/>
  <c r="IS118"/>
  <c r="BA119"/>
  <c r="IR119"/>
  <c r="IS119"/>
  <c r="BA120"/>
  <c r="IR120"/>
  <c r="IS120"/>
  <c r="BA121"/>
  <c r="BA122"/>
  <c r="IR122"/>
  <c r="IS122"/>
  <c r="BA123"/>
  <c r="BA124"/>
  <c r="IR124"/>
  <c r="IS124"/>
  <c r="BA125"/>
  <c r="BA126"/>
  <c r="IR126"/>
  <c r="IS126"/>
  <c r="BA128"/>
  <c r="IR128"/>
  <c r="IS128"/>
  <c r="BA130"/>
  <c r="IR130"/>
  <c r="IS130"/>
  <c r="BA132"/>
  <c r="IR132"/>
  <c r="IS132"/>
  <c r="BA133"/>
  <c r="IR133"/>
  <c r="IS133"/>
  <c r="BA134"/>
  <c r="IR134"/>
  <c r="IS134"/>
  <c r="BA135"/>
  <c r="BA136"/>
  <c r="IR136"/>
  <c r="IS136"/>
  <c r="BA138"/>
  <c r="IR138"/>
  <c r="IS138"/>
  <c r="BA139"/>
  <c r="IR139"/>
  <c r="IS139"/>
  <c r="BA141"/>
  <c r="IR141"/>
  <c r="IS141"/>
  <c r="BA142"/>
  <c r="BA143"/>
  <c r="IR143"/>
  <c r="IS143"/>
  <c r="BA144"/>
  <c r="IR144"/>
  <c r="IS144"/>
  <c r="BA146"/>
  <c r="IR146"/>
  <c r="IS146"/>
  <c r="BA147"/>
  <c r="IR147"/>
  <c r="IS147"/>
  <c r="BA148"/>
  <c r="IR148"/>
  <c r="IS148"/>
  <c r="BA149"/>
  <c r="IR149"/>
  <c r="IS149"/>
  <c r="BA151"/>
  <c r="IR151"/>
  <c r="IS151"/>
  <c r="BA152"/>
  <c r="BA153"/>
  <c r="IR153"/>
  <c r="IS153"/>
  <c r="BA154"/>
  <c r="BA155"/>
  <c r="IR155"/>
  <c r="IS155"/>
  <c r="BA156"/>
  <c r="IR156"/>
  <c r="IS156"/>
  <c r="BA157"/>
  <c r="IR157"/>
  <c r="IS157"/>
  <c r="BA159"/>
  <c r="IR159"/>
  <c r="IS159"/>
  <c r="BA160"/>
  <c r="BA161"/>
  <c r="IR161"/>
  <c r="IS161"/>
  <c r="BA163"/>
  <c r="IR163"/>
  <c r="IS163"/>
  <c r="BA164"/>
  <c r="IR164"/>
  <c r="IS164"/>
  <c r="BA165"/>
  <c r="IR165"/>
  <c r="IS165"/>
  <c r="BA166"/>
  <c r="IR166"/>
  <c r="IS166"/>
  <c r="BA167"/>
  <c r="IR167"/>
  <c r="IS167"/>
  <c r="BA168"/>
  <c r="IR168"/>
  <c r="IS168"/>
  <c r="BA169"/>
  <c r="IR169"/>
  <c r="IS169"/>
  <c r="BA170"/>
  <c r="IR170"/>
  <c r="IS170"/>
  <c r="BA171"/>
  <c r="BA172"/>
  <c r="IR172"/>
  <c r="IS172"/>
  <c r="BA173"/>
  <c r="IR173"/>
  <c r="IS173"/>
  <c r="BA174"/>
  <c r="IR174"/>
  <c r="IS174"/>
  <c r="BA175"/>
  <c r="IR175"/>
  <c r="IS175"/>
  <c r="BA176"/>
  <c r="IR176"/>
  <c r="IS176"/>
  <c r="BA177"/>
  <c r="IR177"/>
  <c r="IS177"/>
  <c r="BA178"/>
  <c r="IR178"/>
  <c r="IS178"/>
  <c r="BA179"/>
  <c r="IR179"/>
  <c r="IS179"/>
  <c r="BA180"/>
  <c r="IR180"/>
  <c r="IS180"/>
  <c r="BA181"/>
  <c r="BA182"/>
  <c r="IR182"/>
  <c r="IS182"/>
  <c r="BA183"/>
  <c r="IR183"/>
  <c r="IS183"/>
  <c r="BA184"/>
  <c r="IR184"/>
  <c r="IS184"/>
  <c r="BA185"/>
  <c r="IR185"/>
  <c r="IS185"/>
  <c r="BA187"/>
  <c r="IR187"/>
  <c r="IS187"/>
  <c r="BA188"/>
  <c r="BA189"/>
  <c r="IR189"/>
  <c r="IS189"/>
  <c r="BA190"/>
  <c r="IR190"/>
  <c r="IS190"/>
  <c r="BA191"/>
  <c r="IR191"/>
  <c r="IS191"/>
  <c r="BA192"/>
  <c r="IR192"/>
  <c r="IS192"/>
  <c r="BA193"/>
  <c r="IR193"/>
  <c r="IS193"/>
  <c r="BA194"/>
  <c r="IR194"/>
  <c r="IS194"/>
  <c r="BA195"/>
  <c r="IR195"/>
  <c r="IS195"/>
  <c r="BA196"/>
  <c r="IR196"/>
  <c r="IS196"/>
  <c r="BA197"/>
  <c r="IR197"/>
  <c r="IS197"/>
  <c r="BA198"/>
  <c r="IR198"/>
  <c r="IS198"/>
  <c r="BA199"/>
  <c r="IR199"/>
  <c r="IS199"/>
  <c r="BA200"/>
  <c r="IR200"/>
  <c r="IS200"/>
  <c r="BA201"/>
  <c r="IR201"/>
  <c r="IS201"/>
  <c r="BA202"/>
  <c r="IR202"/>
  <c r="IS202"/>
  <c r="BA203"/>
  <c r="IR203"/>
  <c r="IS203"/>
  <c r="BA204"/>
  <c r="IR204"/>
  <c r="IS204"/>
  <c r="BA205"/>
  <c r="BA206"/>
  <c r="IR206"/>
  <c r="IS206"/>
  <c r="BA207"/>
  <c r="IR207"/>
  <c r="IS207"/>
  <c r="BA209"/>
  <c r="BA210"/>
  <c r="IR210"/>
  <c r="IS210"/>
  <c r="BA211"/>
  <c r="IR211"/>
  <c r="IS211"/>
  <c r="BA212"/>
  <c r="IR212"/>
  <c r="IS212"/>
  <c r="BA213"/>
  <c r="BA214"/>
  <c r="IR214"/>
  <c r="IS214"/>
  <c r="BA216"/>
  <c r="IR216"/>
  <c r="IS216"/>
  <c r="BA217"/>
  <c r="IR217"/>
  <c r="IS217"/>
  <c r="BA218"/>
  <c r="BA219"/>
  <c r="IR219"/>
  <c r="IS219"/>
  <c r="BA221"/>
  <c r="BA222"/>
  <c r="IR222"/>
  <c r="IS222"/>
  <c r="BA223"/>
  <c r="BA224"/>
  <c r="IR224"/>
  <c r="IS224"/>
  <c r="BA225"/>
  <c r="IR225"/>
  <c r="IS225"/>
  <c r="BA226"/>
  <c r="IR226"/>
  <c r="IS226"/>
  <c r="BA227"/>
  <c r="IR227"/>
  <c r="IS227"/>
  <c r="BA228"/>
  <c r="BA229"/>
  <c r="BA230"/>
  <c r="IR230"/>
  <c r="IS230"/>
  <c r="BA231"/>
  <c r="IR231"/>
  <c r="IS231"/>
  <c r="BA232"/>
  <c r="IR232"/>
  <c r="IS232"/>
  <c r="BA233"/>
  <c r="IR233"/>
  <c r="IS233"/>
  <c r="BA234"/>
  <c r="IR234"/>
  <c r="IS234"/>
  <c r="BA235"/>
  <c r="IR235"/>
  <c r="IS235"/>
  <c r="BA236"/>
  <c r="IR236"/>
  <c r="IS236"/>
  <c r="BA237"/>
  <c r="IR237"/>
  <c r="IS237"/>
  <c r="BA238"/>
  <c r="IR238"/>
  <c r="IS238"/>
  <c r="BA239"/>
  <c r="BA240"/>
  <c r="IR240"/>
  <c r="IS240"/>
  <c r="BA241"/>
  <c r="IR241"/>
  <c r="IS241"/>
  <c r="BA242"/>
  <c r="IR242"/>
  <c r="IS242"/>
  <c r="BA243"/>
  <c r="BA244"/>
  <c r="IR244"/>
  <c r="IS244"/>
  <c r="BA245"/>
  <c r="IR245"/>
  <c r="IS245"/>
  <c r="BA246"/>
  <c r="IR246"/>
  <c r="IS246"/>
  <c r="BA247"/>
  <c r="BA248"/>
  <c r="IR248"/>
  <c r="IS248"/>
  <c r="BA250"/>
  <c r="BA251"/>
  <c r="IR251"/>
  <c r="IS251"/>
  <c r="BA252"/>
  <c r="IR252"/>
  <c r="IS252"/>
  <c r="BA253"/>
  <c r="BA254"/>
  <c r="IR254"/>
  <c r="IS254"/>
  <c r="BA255"/>
  <c r="IR255"/>
  <c r="IS255"/>
  <c r="BA256"/>
  <c r="BA257"/>
  <c r="IR257"/>
  <c r="IS257"/>
  <c r="BA258"/>
  <c r="IR258"/>
  <c r="IS258"/>
  <c r="BA259"/>
  <c r="IR259"/>
  <c r="IS259"/>
  <c r="BA260"/>
  <c r="IR260"/>
  <c r="IS260"/>
  <c r="BA261"/>
  <c r="IR261"/>
  <c r="IS261"/>
  <c r="BA262"/>
  <c r="IR262"/>
  <c r="IS262"/>
  <c r="BA263"/>
  <c r="IR263"/>
  <c r="IS263"/>
  <c r="BA264"/>
  <c r="BA265"/>
  <c r="IR265"/>
  <c r="IS265"/>
  <c r="BA267"/>
  <c r="IR267"/>
  <c r="IS267"/>
  <c r="BA269"/>
  <c r="BA270"/>
  <c r="IR270"/>
  <c r="IS270"/>
  <c r="BA272"/>
  <c r="IR272"/>
  <c r="IS272"/>
  <c r="BA273"/>
  <c r="IR273"/>
  <c r="IS273"/>
  <c r="BA275"/>
  <c r="IR275"/>
  <c r="IS275"/>
  <c r="BA276"/>
  <c r="BA277"/>
  <c r="IR277"/>
  <c r="IS277"/>
  <c r="BA279"/>
  <c r="BA280"/>
  <c r="IR280"/>
  <c r="IS280"/>
  <c r="BA281"/>
  <c r="BA282"/>
  <c r="IR282"/>
  <c r="IS282"/>
  <c r="BA284"/>
  <c r="BA285"/>
  <c r="IR285"/>
  <c r="IS285"/>
  <c r="BA286"/>
  <c r="IR286"/>
  <c r="IS286"/>
  <c r="BA287"/>
  <c r="IR287"/>
  <c r="IS287"/>
  <c r="BA288"/>
  <c r="IR288"/>
  <c r="IS288"/>
  <c r="BA290"/>
  <c r="F14" i="6"/>
  <c r="L14" s="1"/>
  <c r="G14"/>
  <c r="AP14" s="1"/>
  <c r="Z14"/>
  <c r="AD14"/>
  <c r="AE14"/>
  <c r="AF14"/>
  <c r="AG14"/>
  <c r="AH14"/>
  <c r="AJ14"/>
  <c r="AS13" s="1"/>
  <c r="AK14"/>
  <c r="AO14"/>
  <c r="BD14"/>
  <c r="BH14"/>
  <c r="AB14" s="1"/>
  <c r="F16"/>
  <c r="H16" s="1"/>
  <c r="G16"/>
  <c r="I16"/>
  <c r="J16"/>
  <c r="L16"/>
  <c r="Z16"/>
  <c r="AD16"/>
  <c r="AE16"/>
  <c r="AF16"/>
  <c r="AG16"/>
  <c r="AH16"/>
  <c r="AJ16"/>
  <c r="AK16"/>
  <c r="AL16"/>
  <c r="AO16"/>
  <c r="AP16"/>
  <c r="AV16"/>
  <c r="AW16"/>
  <c r="BC16" s="1"/>
  <c r="AX16"/>
  <c r="BD16"/>
  <c r="BF16"/>
  <c r="BH16"/>
  <c r="AB16" s="1"/>
  <c r="BI16"/>
  <c r="AC16" s="1"/>
  <c r="BJ16"/>
  <c r="F17"/>
  <c r="L17" s="1"/>
  <c r="BF17" s="1"/>
  <c r="G17"/>
  <c r="I17"/>
  <c r="Z17"/>
  <c r="AB17"/>
  <c r="AC17"/>
  <c r="AD17"/>
  <c r="AE17"/>
  <c r="AF17"/>
  <c r="AG17"/>
  <c r="AH17"/>
  <c r="AJ17"/>
  <c r="AK17"/>
  <c r="AO17"/>
  <c r="AW17" s="1"/>
  <c r="AP17"/>
  <c r="AX17" s="1"/>
  <c r="BD17"/>
  <c r="BH17"/>
  <c r="BI17"/>
  <c r="BJ17"/>
  <c r="F18"/>
  <c r="G18"/>
  <c r="I18"/>
  <c r="J18"/>
  <c r="AL18" s="1"/>
  <c r="L18"/>
  <c r="BF18" s="1"/>
  <c r="Z18"/>
  <c r="AB18"/>
  <c r="AD18"/>
  <c r="AE18"/>
  <c r="AF18"/>
  <c r="AG18"/>
  <c r="AH18"/>
  <c r="AJ18"/>
  <c r="AK18"/>
  <c r="AO18"/>
  <c r="H18" s="1"/>
  <c r="AP18"/>
  <c r="AV18"/>
  <c r="AW18"/>
  <c r="BC18" s="1"/>
  <c r="AX18"/>
  <c r="BD18"/>
  <c r="BH18"/>
  <c r="BI18"/>
  <c r="AC18" s="1"/>
  <c r="BJ18"/>
  <c r="F20"/>
  <c r="L20" s="1"/>
  <c r="BF20" s="1"/>
  <c r="G20"/>
  <c r="AP20" s="1"/>
  <c r="Z20"/>
  <c r="AD20"/>
  <c r="AE20"/>
  <c r="AF20"/>
  <c r="AG20"/>
  <c r="AH20"/>
  <c r="AJ20"/>
  <c r="AK20"/>
  <c r="AO20"/>
  <c r="AW20" s="1"/>
  <c r="BD20"/>
  <c r="BH20"/>
  <c r="AB20" s="1"/>
  <c r="BJ20"/>
  <c r="F22"/>
  <c r="G22"/>
  <c r="J22"/>
  <c r="L22"/>
  <c r="Z22"/>
  <c r="AD22"/>
  <c r="AE22"/>
  <c r="AF22"/>
  <c r="AG22"/>
  <c r="AH22"/>
  <c r="AJ22"/>
  <c r="AK22"/>
  <c r="AL22"/>
  <c r="AO22"/>
  <c r="H22" s="1"/>
  <c r="AP22"/>
  <c r="AX22" s="1"/>
  <c r="BC22" s="1"/>
  <c r="AW22"/>
  <c r="BD22"/>
  <c r="BF22"/>
  <c r="BH22"/>
  <c r="AB22" s="1"/>
  <c r="BI22"/>
  <c r="AC22" s="1"/>
  <c r="BJ22"/>
  <c r="F24"/>
  <c r="L24" s="1"/>
  <c r="BF24" s="1"/>
  <c r="G24"/>
  <c r="J24"/>
  <c r="Z24"/>
  <c r="AD24"/>
  <c r="AE24"/>
  <c r="AF24"/>
  <c r="AG24"/>
  <c r="AH24"/>
  <c r="AJ24"/>
  <c r="AK24"/>
  <c r="AL24"/>
  <c r="AO24"/>
  <c r="H24" s="1"/>
  <c r="AP24"/>
  <c r="AX24" s="1"/>
  <c r="BC24" s="1"/>
  <c r="AW24"/>
  <c r="BD24"/>
  <c r="BH24"/>
  <c r="AB24" s="1"/>
  <c r="BI24"/>
  <c r="AC24" s="1"/>
  <c r="BJ24"/>
  <c r="F25"/>
  <c r="G25"/>
  <c r="J25"/>
  <c r="L25"/>
  <c r="Z25"/>
  <c r="AB25"/>
  <c r="AD25"/>
  <c r="AE25"/>
  <c r="AF25"/>
  <c r="AG25"/>
  <c r="AH25"/>
  <c r="AJ25"/>
  <c r="AK25"/>
  <c r="AL25"/>
  <c r="AO25"/>
  <c r="H25" s="1"/>
  <c r="AP25"/>
  <c r="AX25" s="1"/>
  <c r="AW25"/>
  <c r="BC25" s="1"/>
  <c r="BD25"/>
  <c r="BF25"/>
  <c r="BH25"/>
  <c r="BI25"/>
  <c r="AC25" s="1"/>
  <c r="BJ25"/>
  <c r="F26"/>
  <c r="L26" s="1"/>
  <c r="BF26" s="1"/>
  <c r="G26"/>
  <c r="Z26"/>
  <c r="AD26"/>
  <c r="AE26"/>
  <c r="AF26"/>
  <c r="AG26"/>
  <c r="AH26"/>
  <c r="AJ26"/>
  <c r="AK26"/>
  <c r="AO26"/>
  <c r="AW26" s="1"/>
  <c r="AP26"/>
  <c r="I26" s="1"/>
  <c r="BD26"/>
  <c r="BH26"/>
  <c r="AB26" s="1"/>
  <c r="BI26"/>
  <c r="AC26" s="1"/>
  <c r="BJ26"/>
  <c r="F27"/>
  <c r="BH27" s="1"/>
  <c r="AB27" s="1"/>
  <c r="G27"/>
  <c r="H27"/>
  <c r="J27"/>
  <c r="L27"/>
  <c r="Z27"/>
  <c r="AD27"/>
  <c r="AE27"/>
  <c r="AF27"/>
  <c r="AG27"/>
  <c r="AH27"/>
  <c r="AJ27"/>
  <c r="AK27"/>
  <c r="AL27"/>
  <c r="AO27"/>
  <c r="AP27"/>
  <c r="AX27" s="1"/>
  <c r="AW27"/>
  <c r="BD27"/>
  <c r="BF27"/>
  <c r="BI27"/>
  <c r="AC27" s="1"/>
  <c r="BJ27"/>
  <c r="F29"/>
  <c r="L29" s="1"/>
  <c r="G29"/>
  <c r="Z29"/>
  <c r="AD29"/>
  <c r="AE29"/>
  <c r="AF29"/>
  <c r="AG29"/>
  <c r="AH29"/>
  <c r="AJ29"/>
  <c r="AS28" s="1"/>
  <c r="AK29"/>
  <c r="AT28" s="1"/>
  <c r="AO29"/>
  <c r="AP29"/>
  <c r="BD29"/>
  <c r="BJ29"/>
  <c r="F30"/>
  <c r="H30" s="1"/>
  <c r="G30"/>
  <c r="AP30" s="1"/>
  <c r="J30"/>
  <c r="AL30" s="1"/>
  <c r="Z30"/>
  <c r="AB30"/>
  <c r="AD30"/>
  <c r="AE30"/>
  <c r="AF30"/>
  <c r="AG30"/>
  <c r="AH30"/>
  <c r="AJ30"/>
  <c r="AK30"/>
  <c r="AO30"/>
  <c r="AW30"/>
  <c r="BD30"/>
  <c r="BH30"/>
  <c r="BJ30"/>
  <c r="F31"/>
  <c r="L31" s="1"/>
  <c r="BF31" s="1"/>
  <c r="G31"/>
  <c r="Z31"/>
  <c r="AD31"/>
  <c r="AE31"/>
  <c r="AF31"/>
  <c r="AG31"/>
  <c r="AH31"/>
  <c r="AJ31"/>
  <c r="AK31"/>
  <c r="AO31"/>
  <c r="AP31"/>
  <c r="BD31"/>
  <c r="BJ31"/>
  <c r="F33"/>
  <c r="H33" s="1"/>
  <c r="G33"/>
  <c r="AP33" s="1"/>
  <c r="J33"/>
  <c r="AL33" s="1"/>
  <c r="Z33"/>
  <c r="AD33"/>
  <c r="AE33"/>
  <c r="AF33"/>
  <c r="AG33"/>
  <c r="AH33"/>
  <c r="AJ33"/>
  <c r="AK33"/>
  <c r="AO33"/>
  <c r="AW33"/>
  <c r="BD33"/>
  <c r="BJ33"/>
  <c r="F35"/>
  <c r="L35" s="1"/>
  <c r="BF35" s="1"/>
  <c r="G35"/>
  <c r="Z35"/>
  <c r="AD35"/>
  <c r="AE35"/>
  <c r="AF35"/>
  <c r="AG35"/>
  <c r="AH35"/>
  <c r="AJ35"/>
  <c r="AK35"/>
  <c r="AO35"/>
  <c r="AP35"/>
  <c r="BD35"/>
  <c r="BJ35"/>
  <c r="F36"/>
  <c r="H36" s="1"/>
  <c r="G36"/>
  <c r="AP36" s="1"/>
  <c r="I36" s="1"/>
  <c r="J36"/>
  <c r="AL36" s="1"/>
  <c r="Z36"/>
  <c r="AD36"/>
  <c r="AE36"/>
  <c r="AF36"/>
  <c r="AG36"/>
  <c r="AH36"/>
  <c r="AJ36"/>
  <c r="AK36"/>
  <c r="AO36"/>
  <c r="AW36"/>
  <c r="BD36"/>
  <c r="BJ36"/>
  <c r="F38"/>
  <c r="G38"/>
  <c r="BD38" s="1"/>
  <c r="L38"/>
  <c r="Z38"/>
  <c r="AD38"/>
  <c r="AE38"/>
  <c r="AF38"/>
  <c r="AG38"/>
  <c r="AH38"/>
  <c r="AJ38"/>
  <c r="AK38"/>
  <c r="AT37" s="1"/>
  <c r="AO38"/>
  <c r="AW38" s="1"/>
  <c r="BF38"/>
  <c r="BH38"/>
  <c r="AB38" s="1"/>
  <c r="F43"/>
  <c r="I43" s="1"/>
  <c r="G43"/>
  <c r="AP43" s="1"/>
  <c r="AX43" s="1"/>
  <c r="L43"/>
  <c r="L37" s="1"/>
  <c r="L15" i="2" s="1"/>
  <c r="Z43" i="6"/>
  <c r="AD43"/>
  <c r="AE43"/>
  <c r="AF43"/>
  <c r="AG43"/>
  <c r="AH43"/>
  <c r="AJ43"/>
  <c r="AS37" s="1"/>
  <c r="AK43"/>
  <c r="AO43"/>
  <c r="BD43"/>
  <c r="BF43"/>
  <c r="BH43"/>
  <c r="AB43" s="1"/>
  <c r="F44"/>
  <c r="G44"/>
  <c r="BD44" s="1"/>
  <c r="L44"/>
  <c r="Z44"/>
  <c r="AD44"/>
  <c r="AE44"/>
  <c r="AF44"/>
  <c r="AG44"/>
  <c r="AH44"/>
  <c r="AJ44"/>
  <c r="AK44"/>
  <c r="AO44"/>
  <c r="AW44" s="1"/>
  <c r="BF44"/>
  <c r="BH44"/>
  <c r="AB44" s="1"/>
  <c r="AT46"/>
  <c r="F47"/>
  <c r="J47" s="1"/>
  <c r="G47"/>
  <c r="AP47" s="1"/>
  <c r="L47"/>
  <c r="L46" s="1"/>
  <c r="L16" i="2" s="1"/>
  <c r="Z47" i="6"/>
  <c r="AD47"/>
  <c r="AE47"/>
  <c r="AF47"/>
  <c r="AG47"/>
  <c r="AH47"/>
  <c r="AJ47"/>
  <c r="AS46" s="1"/>
  <c r="AK47"/>
  <c r="AO47"/>
  <c r="H47" s="1"/>
  <c r="H46" s="1"/>
  <c r="I16" i="2" s="1"/>
  <c r="BF47" i="6"/>
  <c r="BH47"/>
  <c r="AB47" s="1"/>
  <c r="F49"/>
  <c r="G49"/>
  <c r="BD49" s="1"/>
  <c r="H49"/>
  <c r="J49"/>
  <c r="AL49" s="1"/>
  <c r="L49"/>
  <c r="BF49" s="1"/>
  <c r="Z49"/>
  <c r="AD49"/>
  <c r="AE49"/>
  <c r="AF49"/>
  <c r="AG49"/>
  <c r="AH49"/>
  <c r="AJ49"/>
  <c r="AK49"/>
  <c r="AO49"/>
  <c r="AP49"/>
  <c r="AX49" s="1"/>
  <c r="AW49"/>
  <c r="BC49" s="1"/>
  <c r="BH49"/>
  <c r="AB49" s="1"/>
  <c r="BI49"/>
  <c r="AC49" s="1"/>
  <c r="F52"/>
  <c r="L52" s="1"/>
  <c r="G52"/>
  <c r="Z52"/>
  <c r="AB52"/>
  <c r="AD52"/>
  <c r="AE52"/>
  <c r="AF52"/>
  <c r="AG52"/>
  <c r="AH52"/>
  <c r="AJ52"/>
  <c r="AS51" s="1"/>
  <c r="AK52"/>
  <c r="AT51" s="1"/>
  <c r="AO52"/>
  <c r="AW52" s="1"/>
  <c r="AP52"/>
  <c r="AX52" s="1"/>
  <c r="BD52"/>
  <c r="BH52"/>
  <c r="BI52"/>
  <c r="AC52" s="1"/>
  <c r="BJ52"/>
  <c r="F53"/>
  <c r="G53"/>
  <c r="H53"/>
  <c r="I53"/>
  <c r="J53"/>
  <c r="AL53" s="1"/>
  <c r="L53"/>
  <c r="BF53" s="1"/>
  <c r="Z53"/>
  <c r="AB53"/>
  <c r="AD53"/>
  <c r="AE53"/>
  <c r="AF53"/>
  <c r="AG53"/>
  <c r="AH53"/>
  <c r="AJ53"/>
  <c r="AK53"/>
  <c r="AO53"/>
  <c r="AP53"/>
  <c r="AV53"/>
  <c r="AW53"/>
  <c r="AX53"/>
  <c r="BC53"/>
  <c r="BD53"/>
  <c r="BH53"/>
  <c r="BI53"/>
  <c r="AC53" s="1"/>
  <c r="BJ53"/>
  <c r="F54"/>
  <c r="L54" s="1"/>
  <c r="BF54" s="1"/>
  <c r="G54"/>
  <c r="Z54"/>
  <c r="AB54"/>
  <c r="AD54"/>
  <c r="AE54"/>
  <c r="AF54"/>
  <c r="AG54"/>
  <c r="AH54"/>
  <c r="AJ54"/>
  <c r="AK54"/>
  <c r="AO54"/>
  <c r="H54" s="1"/>
  <c r="AP54"/>
  <c r="I54" s="1"/>
  <c r="BD54"/>
  <c r="BH54"/>
  <c r="BI54"/>
  <c r="AC54" s="1"/>
  <c r="BJ54"/>
  <c r="F55"/>
  <c r="G55"/>
  <c r="H55"/>
  <c r="I55"/>
  <c r="J55"/>
  <c r="AL55" s="1"/>
  <c r="L55"/>
  <c r="BF55" s="1"/>
  <c r="Z55"/>
  <c r="AB55"/>
  <c r="AD55"/>
  <c r="AE55"/>
  <c r="AF55"/>
  <c r="AG55"/>
  <c r="AH55"/>
  <c r="AJ55"/>
  <c r="AK55"/>
  <c r="AO55"/>
  <c r="AP55"/>
  <c r="AV55"/>
  <c r="AW55"/>
  <c r="AX55"/>
  <c r="BC55"/>
  <c r="BD55"/>
  <c r="BH55"/>
  <c r="BI55"/>
  <c r="AC55" s="1"/>
  <c r="BJ55"/>
  <c r="F56"/>
  <c r="L56" s="1"/>
  <c r="BF56" s="1"/>
  <c r="G56"/>
  <c r="Z56"/>
  <c r="AB56"/>
  <c r="AD56"/>
  <c r="AE56"/>
  <c r="AF56"/>
  <c r="AG56"/>
  <c r="AH56"/>
  <c r="AJ56"/>
  <c r="AK56"/>
  <c r="AO56"/>
  <c r="H56" s="1"/>
  <c r="AP56"/>
  <c r="I56" s="1"/>
  <c r="BD56"/>
  <c r="BH56"/>
  <c r="BI56"/>
  <c r="AC56" s="1"/>
  <c r="BJ56"/>
  <c r="F57"/>
  <c r="G57"/>
  <c r="H57"/>
  <c r="I57"/>
  <c r="J57"/>
  <c r="AL57" s="1"/>
  <c r="L57"/>
  <c r="BF57" s="1"/>
  <c r="Z57"/>
  <c r="AB57"/>
  <c r="AD57"/>
  <c r="AE57"/>
  <c r="AF57"/>
  <c r="AG57"/>
  <c r="AH57"/>
  <c r="AJ57"/>
  <c r="AK57"/>
  <c r="AO57"/>
  <c r="AP57"/>
  <c r="AV57"/>
  <c r="AW57"/>
  <c r="AX57"/>
  <c r="BC57"/>
  <c r="BD57"/>
  <c r="BH57"/>
  <c r="BI57"/>
  <c r="AC57" s="1"/>
  <c r="BJ57"/>
  <c r="F59"/>
  <c r="L59" s="1"/>
  <c r="G59"/>
  <c r="Z59"/>
  <c r="AD59"/>
  <c r="AE59"/>
  <c r="AF59"/>
  <c r="AG59"/>
  <c r="AH59"/>
  <c r="AJ59"/>
  <c r="AS58" s="1"/>
  <c r="AK59"/>
  <c r="AT58" s="1"/>
  <c r="AO59"/>
  <c r="AP59"/>
  <c r="BD59"/>
  <c r="BJ59"/>
  <c r="F60"/>
  <c r="H60" s="1"/>
  <c r="G60"/>
  <c r="J60"/>
  <c r="AL60" s="1"/>
  <c r="Z60"/>
  <c r="AD60"/>
  <c r="AE60"/>
  <c r="AF60"/>
  <c r="AG60"/>
  <c r="AH60"/>
  <c r="AJ60"/>
  <c r="AK60"/>
  <c r="AO60"/>
  <c r="AP60"/>
  <c r="AW60"/>
  <c r="BD60"/>
  <c r="F62"/>
  <c r="L62" s="1"/>
  <c r="BF62" s="1"/>
  <c r="G62"/>
  <c r="Z62"/>
  <c r="AD62"/>
  <c r="AE62"/>
  <c r="AF62"/>
  <c r="AG62"/>
  <c r="AH62"/>
  <c r="AJ62"/>
  <c r="AK62"/>
  <c r="AO62"/>
  <c r="AP62"/>
  <c r="BD62"/>
  <c r="BJ62"/>
  <c r="F63"/>
  <c r="H63" s="1"/>
  <c r="G63"/>
  <c r="J63"/>
  <c r="AL63" s="1"/>
  <c r="Z63"/>
  <c r="AD63"/>
  <c r="AE63"/>
  <c r="AF63"/>
  <c r="AG63"/>
  <c r="AH63"/>
  <c r="AJ63"/>
  <c r="AK63"/>
  <c r="AO63"/>
  <c r="AP63"/>
  <c r="AW63"/>
  <c r="BD63"/>
  <c r="AS64"/>
  <c r="F65"/>
  <c r="H65" s="1"/>
  <c r="H64" s="1"/>
  <c r="I19" i="2" s="1"/>
  <c r="G65" i="6"/>
  <c r="BD65" s="1"/>
  <c r="L65"/>
  <c r="L64" s="1"/>
  <c r="L19" i="2" s="1"/>
  <c r="Z65" i="6"/>
  <c r="AB65"/>
  <c r="AC65"/>
  <c r="AF65"/>
  <c r="AG65"/>
  <c r="AH65"/>
  <c r="AJ65"/>
  <c r="AK65"/>
  <c r="AT64" s="1"/>
  <c r="AO65"/>
  <c r="AW65" s="1"/>
  <c r="BH65"/>
  <c r="AD65" s="1"/>
  <c r="F68"/>
  <c r="J68" s="1"/>
  <c r="G68"/>
  <c r="BD68" s="1"/>
  <c r="Z68"/>
  <c r="AD68"/>
  <c r="AE68"/>
  <c r="AF68"/>
  <c r="AG68"/>
  <c r="AH68"/>
  <c r="AJ68"/>
  <c r="AS67" s="1"/>
  <c r="AK68"/>
  <c r="AO68"/>
  <c r="H68" s="1"/>
  <c r="AP68"/>
  <c r="AX68" s="1"/>
  <c r="BH68"/>
  <c r="AB68" s="1"/>
  <c r="BI68"/>
  <c r="AC68" s="1"/>
  <c r="F70"/>
  <c r="G70"/>
  <c r="BD70" s="1"/>
  <c r="H70"/>
  <c r="J70"/>
  <c r="AL70" s="1"/>
  <c r="L70"/>
  <c r="BF70" s="1"/>
  <c r="Z70"/>
  <c r="AD70"/>
  <c r="AE70"/>
  <c r="AF70"/>
  <c r="AG70"/>
  <c r="AH70"/>
  <c r="AJ70"/>
  <c r="AK70"/>
  <c r="AO70"/>
  <c r="AP70"/>
  <c r="AX70" s="1"/>
  <c r="BC70" s="1"/>
  <c r="AW70"/>
  <c r="BH70"/>
  <c r="AB70" s="1"/>
  <c r="BI70"/>
  <c r="AC70" s="1"/>
  <c r="F71"/>
  <c r="J71" s="1"/>
  <c r="AL71" s="1"/>
  <c r="G71"/>
  <c r="BD71" s="1"/>
  <c r="Z71"/>
  <c r="AD71"/>
  <c r="AE71"/>
  <c r="AF71"/>
  <c r="AG71"/>
  <c r="AH71"/>
  <c r="AJ71"/>
  <c r="AK71"/>
  <c r="AO71"/>
  <c r="H71" s="1"/>
  <c r="AP71"/>
  <c r="AX71" s="1"/>
  <c r="BH71"/>
  <c r="AB71" s="1"/>
  <c r="BI71"/>
  <c r="AC71" s="1"/>
  <c r="F72"/>
  <c r="G72"/>
  <c r="BD72" s="1"/>
  <c r="H72"/>
  <c r="J72"/>
  <c r="AL72" s="1"/>
  <c r="L72"/>
  <c r="BF72" s="1"/>
  <c r="Z72"/>
  <c r="AD72"/>
  <c r="AE72"/>
  <c r="AF72"/>
  <c r="AG72"/>
  <c r="AH72"/>
  <c r="AJ72"/>
  <c r="AK72"/>
  <c r="AT67" s="1"/>
  <c r="AO72"/>
  <c r="AP72"/>
  <c r="AX72" s="1"/>
  <c r="BC72" s="1"/>
  <c r="AW72"/>
  <c r="BH72"/>
  <c r="AB72" s="1"/>
  <c r="BI72"/>
  <c r="AC72" s="1"/>
  <c r="F74"/>
  <c r="J74" s="1"/>
  <c r="AL74" s="1"/>
  <c r="G74"/>
  <c r="BD74" s="1"/>
  <c r="Z74"/>
  <c r="AD74"/>
  <c r="AE74"/>
  <c r="AF74"/>
  <c r="AG74"/>
  <c r="AH74"/>
  <c r="AJ74"/>
  <c r="AK74"/>
  <c r="AO74"/>
  <c r="H74" s="1"/>
  <c r="AP74"/>
  <c r="AX74" s="1"/>
  <c r="BH74"/>
  <c r="AB74" s="1"/>
  <c r="BI74"/>
  <c r="AC74" s="1"/>
  <c r="F75"/>
  <c r="G75"/>
  <c r="BD75" s="1"/>
  <c r="H75"/>
  <c r="J75"/>
  <c r="AL75" s="1"/>
  <c r="L75"/>
  <c r="BF75" s="1"/>
  <c r="Z75"/>
  <c r="AD75"/>
  <c r="AE75"/>
  <c r="AF75"/>
  <c r="AG75"/>
  <c r="AH75"/>
  <c r="AJ75"/>
  <c r="AK75"/>
  <c r="AO75"/>
  <c r="AP75"/>
  <c r="AX75" s="1"/>
  <c r="BC75" s="1"/>
  <c r="AW75"/>
  <c r="BH75"/>
  <c r="AB75" s="1"/>
  <c r="BI75"/>
  <c r="AC75" s="1"/>
  <c r="F77"/>
  <c r="J77" s="1"/>
  <c r="AL77" s="1"/>
  <c r="G77"/>
  <c r="BD77" s="1"/>
  <c r="Z77"/>
  <c r="AD77"/>
  <c r="AE77"/>
  <c r="AF77"/>
  <c r="AG77"/>
  <c r="AH77"/>
  <c r="AJ77"/>
  <c r="AK77"/>
  <c r="AO77"/>
  <c r="H77" s="1"/>
  <c r="AP77"/>
  <c r="BH77"/>
  <c r="AB77" s="1"/>
  <c r="BI77"/>
  <c r="AC77" s="1"/>
  <c r="F79"/>
  <c r="G79"/>
  <c r="BJ79" s="1"/>
  <c r="H79"/>
  <c r="J79"/>
  <c r="AL79" s="1"/>
  <c r="L79"/>
  <c r="BF79" s="1"/>
  <c r="Z79"/>
  <c r="AD79"/>
  <c r="AE79"/>
  <c r="AF79"/>
  <c r="AG79"/>
  <c r="AH79"/>
  <c r="AJ79"/>
  <c r="AK79"/>
  <c r="AO79"/>
  <c r="AP79"/>
  <c r="AX79" s="1"/>
  <c r="AW79"/>
  <c r="BD79"/>
  <c r="BH79"/>
  <c r="AB79" s="1"/>
  <c r="BI79"/>
  <c r="AC79" s="1"/>
  <c r="F80"/>
  <c r="J80" s="1"/>
  <c r="AL80" s="1"/>
  <c r="G80"/>
  <c r="BD80" s="1"/>
  <c r="Z80"/>
  <c r="AC80"/>
  <c r="AD80"/>
  <c r="AE80"/>
  <c r="AF80"/>
  <c r="AG80"/>
  <c r="AH80"/>
  <c r="AJ80"/>
  <c r="AK80"/>
  <c r="AO80"/>
  <c r="AP80"/>
  <c r="BH80"/>
  <c r="AB80" s="1"/>
  <c r="BI80"/>
  <c r="F82"/>
  <c r="G82"/>
  <c r="H82"/>
  <c r="J82"/>
  <c r="AL82" s="1"/>
  <c r="L82"/>
  <c r="BF82" s="1"/>
  <c r="Z82"/>
  <c r="AD82"/>
  <c r="AE82"/>
  <c r="AF82"/>
  <c r="AG82"/>
  <c r="AH82"/>
  <c r="AJ82"/>
  <c r="AK82"/>
  <c r="AO82"/>
  <c r="AP82"/>
  <c r="AX82" s="1"/>
  <c r="AW82"/>
  <c r="BC82" s="1"/>
  <c r="BD82"/>
  <c r="BH82"/>
  <c r="AB82" s="1"/>
  <c r="BI82"/>
  <c r="AC82" s="1"/>
  <c r="BJ82"/>
  <c r="F83"/>
  <c r="J83" s="1"/>
  <c r="AL83" s="1"/>
  <c r="G83"/>
  <c r="BD83" s="1"/>
  <c r="Z83"/>
  <c r="AD83"/>
  <c r="AE83"/>
  <c r="AF83"/>
  <c r="AG83"/>
  <c r="AH83"/>
  <c r="AJ83"/>
  <c r="AK83"/>
  <c r="AO83"/>
  <c r="AP83"/>
  <c r="BH83"/>
  <c r="AB83" s="1"/>
  <c r="BI83"/>
  <c r="AC83" s="1"/>
  <c r="F84"/>
  <c r="G84"/>
  <c r="H84"/>
  <c r="J84"/>
  <c r="AL84" s="1"/>
  <c r="L84"/>
  <c r="BF84" s="1"/>
  <c r="Z84"/>
  <c r="AD84"/>
  <c r="AE84"/>
  <c r="AF84"/>
  <c r="AG84"/>
  <c r="AH84"/>
  <c r="AJ84"/>
  <c r="AK84"/>
  <c r="AO84"/>
  <c r="AP84"/>
  <c r="AX84" s="1"/>
  <c r="AW84"/>
  <c r="BD84"/>
  <c r="BH84"/>
  <c r="AB84" s="1"/>
  <c r="BI84"/>
  <c r="AC84" s="1"/>
  <c r="BJ84"/>
  <c r="F85"/>
  <c r="J85" s="1"/>
  <c r="AL85" s="1"/>
  <c r="G85"/>
  <c r="Z85"/>
  <c r="AD85"/>
  <c r="AE85"/>
  <c r="AF85"/>
  <c r="AG85"/>
  <c r="AH85"/>
  <c r="AJ85"/>
  <c r="AK85"/>
  <c r="AO85"/>
  <c r="AP85"/>
  <c r="BD85"/>
  <c r="BH85"/>
  <c r="AB85" s="1"/>
  <c r="BI85"/>
  <c r="AC85" s="1"/>
  <c r="F86"/>
  <c r="G86"/>
  <c r="H86"/>
  <c r="J86"/>
  <c r="AL86" s="1"/>
  <c r="L86"/>
  <c r="BF86" s="1"/>
  <c r="Z86"/>
  <c r="AD86"/>
  <c r="AE86"/>
  <c r="AF86"/>
  <c r="AG86"/>
  <c r="AH86"/>
  <c r="AJ86"/>
  <c r="AK86"/>
  <c r="AO86"/>
  <c r="AP86"/>
  <c r="AX86" s="1"/>
  <c r="AW86"/>
  <c r="BC86" s="1"/>
  <c r="BD86"/>
  <c r="BH86"/>
  <c r="AB86" s="1"/>
  <c r="BI86"/>
  <c r="AC86" s="1"/>
  <c r="BJ86"/>
  <c r="F87"/>
  <c r="J87" s="1"/>
  <c r="AL87" s="1"/>
  <c r="G87"/>
  <c r="Z87"/>
  <c r="AD87"/>
  <c r="AE87"/>
  <c r="AF87"/>
  <c r="AG87"/>
  <c r="AH87"/>
  <c r="AJ87"/>
  <c r="AK87"/>
  <c r="AO87"/>
  <c r="AP87"/>
  <c r="BD87"/>
  <c r="BH87"/>
  <c r="AB87" s="1"/>
  <c r="BI87"/>
  <c r="AC87" s="1"/>
  <c r="F88"/>
  <c r="G88"/>
  <c r="H88"/>
  <c r="J88"/>
  <c r="AL88" s="1"/>
  <c r="L88"/>
  <c r="Z88"/>
  <c r="AB88"/>
  <c r="AD88"/>
  <c r="AE88"/>
  <c r="AF88"/>
  <c r="AG88"/>
  <c r="AH88"/>
  <c r="AJ88"/>
  <c r="AK88"/>
  <c r="AO88"/>
  <c r="AP88"/>
  <c r="AX88" s="1"/>
  <c r="AW88"/>
  <c r="BD88"/>
  <c r="BF88"/>
  <c r="BH88"/>
  <c r="BI88"/>
  <c r="AC88" s="1"/>
  <c r="BJ88"/>
  <c r="F89"/>
  <c r="J89" s="1"/>
  <c r="AL89" s="1"/>
  <c r="G89"/>
  <c r="Z89"/>
  <c r="AD89"/>
  <c r="AE89"/>
  <c r="AF89"/>
  <c r="AG89"/>
  <c r="AH89"/>
  <c r="AJ89"/>
  <c r="AK89"/>
  <c r="AO89"/>
  <c r="AP89"/>
  <c r="BD89"/>
  <c r="BH89"/>
  <c r="AB89" s="1"/>
  <c r="BI89"/>
  <c r="AC89" s="1"/>
  <c r="BJ89"/>
  <c r="F90"/>
  <c r="G90"/>
  <c r="H90"/>
  <c r="J90"/>
  <c r="AL90" s="1"/>
  <c r="L90"/>
  <c r="Z90"/>
  <c r="AB90"/>
  <c r="AD90"/>
  <c r="AE90"/>
  <c r="AF90"/>
  <c r="AG90"/>
  <c r="AH90"/>
  <c r="AJ90"/>
  <c r="AK90"/>
  <c r="AO90"/>
  <c r="AP90"/>
  <c r="AX90" s="1"/>
  <c r="AW90"/>
  <c r="BC90" s="1"/>
  <c r="BD90"/>
  <c r="BF90"/>
  <c r="BH90"/>
  <c r="BI90"/>
  <c r="AC90" s="1"/>
  <c r="BJ90"/>
  <c r="F91"/>
  <c r="J91" s="1"/>
  <c r="AL91" s="1"/>
  <c r="G91"/>
  <c r="Z91"/>
  <c r="AD91"/>
  <c r="AE91"/>
  <c r="AF91"/>
  <c r="AG91"/>
  <c r="AH91"/>
  <c r="AJ91"/>
  <c r="AK91"/>
  <c r="AO91"/>
  <c r="AW91" s="1"/>
  <c r="AP91"/>
  <c r="BD91"/>
  <c r="BH91"/>
  <c r="AB91" s="1"/>
  <c r="BI91"/>
  <c r="AC91" s="1"/>
  <c r="BJ91"/>
  <c r="F92"/>
  <c r="G92"/>
  <c r="H92"/>
  <c r="J92"/>
  <c r="L92"/>
  <c r="Z92"/>
  <c r="AB92"/>
  <c r="AD92"/>
  <c r="AE92"/>
  <c r="AF92"/>
  <c r="AG92"/>
  <c r="AH92"/>
  <c r="AJ92"/>
  <c r="AK92"/>
  <c r="AL92"/>
  <c r="AO92"/>
  <c r="AP92"/>
  <c r="AX92" s="1"/>
  <c r="AW92"/>
  <c r="BD92"/>
  <c r="BF92"/>
  <c r="BH92"/>
  <c r="BI92"/>
  <c r="AC92" s="1"/>
  <c r="BJ92"/>
  <c r="F93"/>
  <c r="J93" s="1"/>
  <c r="AL93" s="1"/>
  <c r="G93"/>
  <c r="Z93"/>
  <c r="AD93"/>
  <c r="AE93"/>
  <c r="AF93"/>
  <c r="AG93"/>
  <c r="AH93"/>
  <c r="AJ93"/>
  <c r="AK93"/>
  <c r="AO93"/>
  <c r="AW93" s="1"/>
  <c r="AP93"/>
  <c r="BD93"/>
  <c r="BH93"/>
  <c r="AB93" s="1"/>
  <c r="BI93"/>
  <c r="AC93" s="1"/>
  <c r="BJ93"/>
  <c r="F94"/>
  <c r="G94"/>
  <c r="H94"/>
  <c r="J94"/>
  <c r="L94"/>
  <c r="Z94"/>
  <c r="AB94"/>
  <c r="AD94"/>
  <c r="AE94"/>
  <c r="AF94"/>
  <c r="AG94"/>
  <c r="AH94"/>
  <c r="AJ94"/>
  <c r="AK94"/>
  <c r="AL94"/>
  <c r="AO94"/>
  <c r="AP94"/>
  <c r="AX94" s="1"/>
  <c r="AW94"/>
  <c r="BC94" s="1"/>
  <c r="BD94"/>
  <c r="BF94"/>
  <c r="BH94"/>
  <c r="BI94"/>
  <c r="AC94" s="1"/>
  <c r="BJ94"/>
  <c r="F95"/>
  <c r="J95" s="1"/>
  <c r="AL95" s="1"/>
  <c r="G95"/>
  <c r="Z95"/>
  <c r="AD95"/>
  <c r="AE95"/>
  <c r="AF95"/>
  <c r="AG95"/>
  <c r="AH95"/>
  <c r="AJ95"/>
  <c r="AK95"/>
  <c r="AO95"/>
  <c r="AP95"/>
  <c r="AW95"/>
  <c r="BD95"/>
  <c r="BH95"/>
  <c r="AB95" s="1"/>
  <c r="BI95"/>
  <c r="AC95" s="1"/>
  <c r="BJ95"/>
  <c r="F96"/>
  <c r="L96" s="1"/>
  <c r="BF96" s="1"/>
  <c r="G96"/>
  <c r="H96"/>
  <c r="J96"/>
  <c r="Z96"/>
  <c r="AD96"/>
  <c r="AE96"/>
  <c r="AF96"/>
  <c r="AG96"/>
  <c r="AH96"/>
  <c r="AJ96"/>
  <c r="AK96"/>
  <c r="AL96"/>
  <c r="AO96"/>
  <c r="AP96"/>
  <c r="AX96" s="1"/>
  <c r="AV96" s="1"/>
  <c r="AW96"/>
  <c r="BC96" s="1"/>
  <c r="BD96"/>
  <c r="BI96"/>
  <c r="AC96" s="1"/>
  <c r="BJ96"/>
  <c r="F97"/>
  <c r="H97" s="1"/>
  <c r="G97"/>
  <c r="J97"/>
  <c r="Z97"/>
  <c r="AB97"/>
  <c r="AC97"/>
  <c r="AD97"/>
  <c r="AE97"/>
  <c r="AF97"/>
  <c r="AG97"/>
  <c r="AH97"/>
  <c r="AJ97"/>
  <c r="AK97"/>
  <c r="AL97"/>
  <c r="AO97"/>
  <c r="AP97"/>
  <c r="I97" s="1"/>
  <c r="AW97"/>
  <c r="BD97"/>
  <c r="BH97"/>
  <c r="BI97"/>
  <c r="BJ97"/>
  <c r="F98"/>
  <c r="L98" s="1"/>
  <c r="BF98" s="1"/>
  <c r="G98"/>
  <c r="I98"/>
  <c r="J98"/>
  <c r="Z98"/>
  <c r="AB98"/>
  <c r="AD98"/>
  <c r="AE98"/>
  <c r="AF98"/>
  <c r="AG98"/>
  <c r="AH98"/>
  <c r="AJ98"/>
  <c r="AK98"/>
  <c r="AL98"/>
  <c r="AO98"/>
  <c r="AP98"/>
  <c r="AW98"/>
  <c r="BD98"/>
  <c r="BH98"/>
  <c r="BI98"/>
  <c r="AC98" s="1"/>
  <c r="BJ98"/>
  <c r="F99"/>
  <c r="H99" s="1"/>
  <c r="G99"/>
  <c r="I99"/>
  <c r="J99"/>
  <c r="Z99"/>
  <c r="AB99"/>
  <c r="AC99"/>
  <c r="AD99"/>
  <c r="AE99"/>
  <c r="AF99"/>
  <c r="AG99"/>
  <c r="AH99"/>
  <c r="AJ99"/>
  <c r="AK99"/>
  <c r="AL99"/>
  <c r="AO99"/>
  <c r="AP99"/>
  <c r="AX99" s="1"/>
  <c r="AW99"/>
  <c r="BD99"/>
  <c r="BH99"/>
  <c r="BI99"/>
  <c r="BJ99"/>
  <c r="F100"/>
  <c r="L100" s="1"/>
  <c r="BF100" s="1"/>
  <c r="G100"/>
  <c r="I100"/>
  <c r="Z100"/>
  <c r="AB100"/>
  <c r="AD100"/>
  <c r="AE100"/>
  <c r="AF100"/>
  <c r="AG100"/>
  <c r="AH100"/>
  <c r="AJ100"/>
  <c r="AK100"/>
  <c r="AO100"/>
  <c r="AP100"/>
  <c r="AW100"/>
  <c r="BD100"/>
  <c r="BH100"/>
  <c r="BI100"/>
  <c r="AC100" s="1"/>
  <c r="BJ100"/>
  <c r="F101"/>
  <c r="H101" s="1"/>
  <c r="G101"/>
  <c r="I101"/>
  <c r="J101"/>
  <c r="Z101"/>
  <c r="AB101"/>
  <c r="AC101"/>
  <c r="AD101"/>
  <c r="AE101"/>
  <c r="AF101"/>
  <c r="AG101"/>
  <c r="AH101"/>
  <c r="AJ101"/>
  <c r="AK101"/>
  <c r="AL101"/>
  <c r="AO101"/>
  <c r="AP101"/>
  <c r="AW101"/>
  <c r="AV101" s="1"/>
  <c r="AX101"/>
  <c r="BD101"/>
  <c r="BH101"/>
  <c r="BI101"/>
  <c r="BJ101"/>
  <c r="F102"/>
  <c r="L102" s="1"/>
  <c r="BF102" s="1"/>
  <c r="G102"/>
  <c r="I102"/>
  <c r="Z102"/>
  <c r="AD102"/>
  <c r="AE102"/>
  <c r="AF102"/>
  <c r="AG102"/>
  <c r="AH102"/>
  <c r="AJ102"/>
  <c r="AK102"/>
  <c r="AO102"/>
  <c r="AP102"/>
  <c r="AW102"/>
  <c r="BD102"/>
  <c r="BH102"/>
  <c r="AB102" s="1"/>
  <c r="BI102"/>
  <c r="AC102" s="1"/>
  <c r="BJ102"/>
  <c r="F103"/>
  <c r="H103" s="1"/>
  <c r="G103"/>
  <c r="I103"/>
  <c r="J103"/>
  <c r="L103"/>
  <c r="Z103"/>
  <c r="AB103"/>
  <c r="AC103"/>
  <c r="AD103"/>
  <c r="AE103"/>
  <c r="AF103"/>
  <c r="AG103"/>
  <c r="AH103"/>
  <c r="AJ103"/>
  <c r="AK103"/>
  <c r="AL103"/>
  <c r="AO103"/>
  <c r="AP103"/>
  <c r="AW103"/>
  <c r="AV103" s="1"/>
  <c r="AX103"/>
  <c r="BD103"/>
  <c r="BF103"/>
  <c r="BH103"/>
  <c r="BI103"/>
  <c r="BJ103"/>
  <c r="F104"/>
  <c r="L104" s="1"/>
  <c r="BF104" s="1"/>
  <c r="G104"/>
  <c r="I104"/>
  <c r="Z104"/>
  <c r="AC104"/>
  <c r="AD104"/>
  <c r="AE104"/>
  <c r="AF104"/>
  <c r="AG104"/>
  <c r="AH104"/>
  <c r="AJ104"/>
  <c r="AK104"/>
  <c r="AO104"/>
  <c r="AW104" s="1"/>
  <c r="AP104"/>
  <c r="BD104"/>
  <c r="BH104"/>
  <c r="AB104" s="1"/>
  <c r="BI104"/>
  <c r="BJ104"/>
  <c r="F105"/>
  <c r="H105" s="1"/>
  <c r="G105"/>
  <c r="I105"/>
  <c r="J105"/>
  <c r="L105"/>
  <c r="Z105"/>
  <c r="AB105"/>
  <c r="AC105"/>
  <c r="AD105"/>
  <c r="AE105"/>
  <c r="AF105"/>
  <c r="AG105"/>
  <c r="AH105"/>
  <c r="AJ105"/>
  <c r="AK105"/>
  <c r="AL105"/>
  <c r="AO105"/>
  <c r="AP105"/>
  <c r="AW105"/>
  <c r="AV105" s="1"/>
  <c r="AX105"/>
  <c r="BD105"/>
  <c r="BF105"/>
  <c r="BH105"/>
  <c r="BI105"/>
  <c r="BJ105"/>
  <c r="F106"/>
  <c r="L106" s="1"/>
  <c r="BF106" s="1"/>
  <c r="G106"/>
  <c r="I106"/>
  <c r="Z106"/>
  <c r="AC106"/>
  <c r="AD106"/>
  <c r="AE106"/>
  <c r="AF106"/>
  <c r="AG106"/>
  <c r="AH106"/>
  <c r="AJ106"/>
  <c r="AK106"/>
  <c r="AO106"/>
  <c r="AP106"/>
  <c r="BD106"/>
  <c r="BH106"/>
  <c r="AB106" s="1"/>
  <c r="BI106"/>
  <c r="BJ106"/>
  <c r="F107"/>
  <c r="H107" s="1"/>
  <c r="G107"/>
  <c r="I107"/>
  <c r="J107"/>
  <c r="AL107" s="1"/>
  <c r="L107"/>
  <c r="Z107"/>
  <c r="AB107"/>
  <c r="AC107"/>
  <c r="AD107"/>
  <c r="AE107"/>
  <c r="AF107"/>
  <c r="AG107"/>
  <c r="AH107"/>
  <c r="AJ107"/>
  <c r="AK107"/>
  <c r="AO107"/>
  <c r="AP107"/>
  <c r="AW107"/>
  <c r="AV107" s="1"/>
  <c r="AX107"/>
  <c r="BD107"/>
  <c r="BF107"/>
  <c r="BH107"/>
  <c r="BI107"/>
  <c r="BJ107"/>
  <c r="F108"/>
  <c r="L108" s="1"/>
  <c r="BF108" s="1"/>
  <c r="G108"/>
  <c r="I108"/>
  <c r="Z108"/>
  <c r="AB108"/>
  <c r="AD108"/>
  <c r="AE108"/>
  <c r="AF108"/>
  <c r="AG108"/>
  <c r="AH108"/>
  <c r="AJ108"/>
  <c r="AK108"/>
  <c r="AO108"/>
  <c r="AP108"/>
  <c r="BD108"/>
  <c r="BH108"/>
  <c r="BJ108"/>
  <c r="F109"/>
  <c r="H109" s="1"/>
  <c r="G109"/>
  <c r="I109"/>
  <c r="J109"/>
  <c r="AL109" s="1"/>
  <c r="L109"/>
  <c r="Z109"/>
  <c r="AB109"/>
  <c r="AC109"/>
  <c r="AD109"/>
  <c r="AE109"/>
  <c r="AF109"/>
  <c r="AG109"/>
  <c r="AH109"/>
  <c r="AJ109"/>
  <c r="AK109"/>
  <c r="AO109"/>
  <c r="AP109"/>
  <c r="AW109"/>
  <c r="AV109" s="1"/>
  <c r="AX109"/>
  <c r="BD109"/>
  <c r="BF109"/>
  <c r="BH109"/>
  <c r="BI109"/>
  <c r="BJ109"/>
  <c r="F110"/>
  <c r="L110" s="1"/>
  <c r="BF110" s="1"/>
  <c r="G110"/>
  <c r="AP110" s="1"/>
  <c r="I110" s="1"/>
  <c r="Z110"/>
  <c r="AB110"/>
  <c r="AD110"/>
  <c r="AE110"/>
  <c r="AF110"/>
  <c r="AG110"/>
  <c r="AH110"/>
  <c r="AJ110"/>
  <c r="AK110"/>
  <c r="AO110"/>
  <c r="BD110"/>
  <c r="BH110"/>
  <c r="BJ110"/>
  <c r="F111"/>
  <c r="H111" s="1"/>
  <c r="G111"/>
  <c r="I111"/>
  <c r="J111"/>
  <c r="AL111" s="1"/>
  <c r="L111"/>
  <c r="Z111"/>
  <c r="AB111"/>
  <c r="AC111"/>
  <c r="AD111"/>
  <c r="AE111"/>
  <c r="AF111"/>
  <c r="AG111"/>
  <c r="AH111"/>
  <c r="AJ111"/>
  <c r="AK111"/>
  <c r="AO111"/>
  <c r="AP111"/>
  <c r="AW111"/>
  <c r="AV111" s="1"/>
  <c r="AX111"/>
  <c r="BD111"/>
  <c r="BF111"/>
  <c r="BH111"/>
  <c r="BI111"/>
  <c r="BJ111"/>
  <c r="F112"/>
  <c r="L112" s="1"/>
  <c r="BF112" s="1"/>
  <c r="G112"/>
  <c r="AP112" s="1"/>
  <c r="I112" s="1"/>
  <c r="Z112"/>
  <c r="AB112"/>
  <c r="AD112"/>
  <c r="AE112"/>
  <c r="AF112"/>
  <c r="AG112"/>
  <c r="AH112"/>
  <c r="AJ112"/>
  <c r="AK112"/>
  <c r="AO112"/>
  <c r="BD112"/>
  <c r="BH112"/>
  <c r="BJ112"/>
  <c r="F113"/>
  <c r="H113" s="1"/>
  <c r="G113"/>
  <c r="I113"/>
  <c r="J113"/>
  <c r="AL113" s="1"/>
  <c r="L113"/>
  <c r="BF113" s="1"/>
  <c r="Z113"/>
  <c r="AB113"/>
  <c r="AC113"/>
  <c r="AD113"/>
  <c r="AE113"/>
  <c r="AF113"/>
  <c r="AG113"/>
  <c r="AH113"/>
  <c r="AJ113"/>
  <c r="AK113"/>
  <c r="AO113"/>
  <c r="AP113"/>
  <c r="AW113"/>
  <c r="AV113" s="1"/>
  <c r="AX113"/>
  <c r="BD113"/>
  <c r="BH113"/>
  <c r="BI113"/>
  <c r="BJ113"/>
  <c r="F114"/>
  <c r="L114" s="1"/>
  <c r="BF114" s="1"/>
  <c r="G114"/>
  <c r="AP114" s="1"/>
  <c r="I114" s="1"/>
  <c r="Z114"/>
  <c r="AB114"/>
  <c r="AD114"/>
  <c r="AE114"/>
  <c r="AF114"/>
  <c r="AG114"/>
  <c r="AH114"/>
  <c r="AJ114"/>
  <c r="AK114"/>
  <c r="AO114"/>
  <c r="BD114"/>
  <c r="BH114"/>
  <c r="BJ114"/>
  <c r="F115"/>
  <c r="H115" s="1"/>
  <c r="G115"/>
  <c r="I115"/>
  <c r="J115"/>
  <c r="AL115" s="1"/>
  <c r="L115"/>
  <c r="BF115" s="1"/>
  <c r="Z115"/>
  <c r="AB115"/>
  <c r="AC115"/>
  <c r="AD115"/>
  <c r="AE115"/>
  <c r="AF115"/>
  <c r="AG115"/>
  <c r="AH115"/>
  <c r="AJ115"/>
  <c r="AK115"/>
  <c r="AO115"/>
  <c r="AP115"/>
  <c r="AV115"/>
  <c r="AW115"/>
  <c r="BC115" s="1"/>
  <c r="AX115"/>
  <c r="BD115"/>
  <c r="BH115"/>
  <c r="BI115"/>
  <c r="BJ115"/>
  <c r="F116"/>
  <c r="L116" s="1"/>
  <c r="BF116" s="1"/>
  <c r="G116"/>
  <c r="AP116" s="1"/>
  <c r="I116" s="1"/>
  <c r="Z116"/>
  <c r="AB116"/>
  <c r="AD116"/>
  <c r="AE116"/>
  <c r="AF116"/>
  <c r="AG116"/>
  <c r="AH116"/>
  <c r="AJ116"/>
  <c r="AK116"/>
  <c r="AO116"/>
  <c r="BD116"/>
  <c r="BH116"/>
  <c r="BJ116"/>
  <c r="F117"/>
  <c r="H117" s="1"/>
  <c r="G117"/>
  <c r="I117"/>
  <c r="J117"/>
  <c r="AL117" s="1"/>
  <c r="L117"/>
  <c r="BF117" s="1"/>
  <c r="Z117"/>
  <c r="AB117"/>
  <c r="AC117"/>
  <c r="AD117"/>
  <c r="AE117"/>
  <c r="AF117"/>
  <c r="AG117"/>
  <c r="AH117"/>
  <c r="AJ117"/>
  <c r="AK117"/>
  <c r="AO117"/>
  <c r="AP117"/>
  <c r="AV117"/>
  <c r="AW117"/>
  <c r="BC117" s="1"/>
  <c r="AX117"/>
  <c r="BD117"/>
  <c r="BH117"/>
  <c r="BI117"/>
  <c r="BJ117"/>
  <c r="F118"/>
  <c r="L118" s="1"/>
  <c r="BF118" s="1"/>
  <c r="G118"/>
  <c r="AP118" s="1"/>
  <c r="I118" s="1"/>
  <c r="Z118"/>
  <c r="AB118"/>
  <c r="AD118"/>
  <c r="AE118"/>
  <c r="AF118"/>
  <c r="AG118"/>
  <c r="AH118"/>
  <c r="AJ118"/>
  <c r="AK118"/>
  <c r="AO118"/>
  <c r="BD118"/>
  <c r="BH118"/>
  <c r="BJ118"/>
  <c r="F119"/>
  <c r="H119" s="1"/>
  <c r="G119"/>
  <c r="I119"/>
  <c r="J119"/>
  <c r="AL119" s="1"/>
  <c r="L119"/>
  <c r="BF119" s="1"/>
  <c r="Z119"/>
  <c r="AB119"/>
  <c r="AD119"/>
  <c r="AE119"/>
  <c r="AF119"/>
  <c r="AG119"/>
  <c r="AH119"/>
  <c r="AJ119"/>
  <c r="AK119"/>
  <c r="AO119"/>
  <c r="AP119"/>
  <c r="AW119"/>
  <c r="AV119" s="1"/>
  <c r="AX119"/>
  <c r="BD119"/>
  <c r="BH119"/>
  <c r="BI119"/>
  <c r="AC119" s="1"/>
  <c r="BJ119"/>
  <c r="F120"/>
  <c r="L120" s="1"/>
  <c r="BF120" s="1"/>
  <c r="G120"/>
  <c r="AP120" s="1"/>
  <c r="I120" s="1"/>
  <c r="Z120"/>
  <c r="AD120"/>
  <c r="AE120"/>
  <c r="AF120"/>
  <c r="AG120"/>
  <c r="AH120"/>
  <c r="AJ120"/>
  <c r="AK120"/>
  <c r="AO120"/>
  <c r="BD120"/>
  <c r="BJ120"/>
  <c r="F121"/>
  <c r="H121" s="1"/>
  <c r="G121"/>
  <c r="I121"/>
  <c r="J121"/>
  <c r="AL121" s="1"/>
  <c r="L121"/>
  <c r="BF121" s="1"/>
  <c r="Z121"/>
  <c r="AB121"/>
  <c r="AD121"/>
  <c r="AE121"/>
  <c r="AF121"/>
  <c r="AG121"/>
  <c r="AH121"/>
  <c r="AJ121"/>
  <c r="AK121"/>
  <c r="AO121"/>
  <c r="AP121"/>
  <c r="AW121"/>
  <c r="AV121" s="1"/>
  <c r="AX121"/>
  <c r="BD121"/>
  <c r="BH121"/>
  <c r="BI121"/>
  <c r="AC121" s="1"/>
  <c r="BJ121"/>
  <c r="F122"/>
  <c r="L122" s="1"/>
  <c r="BF122" s="1"/>
  <c r="G122"/>
  <c r="AP122" s="1"/>
  <c r="I122" s="1"/>
  <c r="Z122"/>
  <c r="AD122"/>
  <c r="AE122"/>
  <c r="AF122"/>
  <c r="AG122"/>
  <c r="AH122"/>
  <c r="AJ122"/>
  <c r="AK122"/>
  <c r="AO122"/>
  <c r="BD122"/>
  <c r="BJ122"/>
  <c r="F123"/>
  <c r="H123" s="1"/>
  <c r="G123"/>
  <c r="I123"/>
  <c r="J123"/>
  <c r="AL123" s="1"/>
  <c r="L123"/>
  <c r="BF123" s="1"/>
  <c r="Z123"/>
  <c r="AB123"/>
  <c r="AC123"/>
  <c r="AD123"/>
  <c r="AE123"/>
  <c r="AF123"/>
  <c r="AG123"/>
  <c r="AH123"/>
  <c r="AJ123"/>
  <c r="AK123"/>
  <c r="AO123"/>
  <c r="AP123"/>
  <c r="AW123"/>
  <c r="AV123" s="1"/>
  <c r="AX123"/>
  <c r="BD123"/>
  <c r="BH123"/>
  <c r="BI123"/>
  <c r="BJ123"/>
  <c r="F124"/>
  <c r="L124" s="1"/>
  <c r="BF124" s="1"/>
  <c r="G124"/>
  <c r="AP124" s="1"/>
  <c r="I124" s="1"/>
  <c r="Z124"/>
  <c r="AD124"/>
  <c r="AE124"/>
  <c r="AF124"/>
  <c r="AG124"/>
  <c r="AH124"/>
  <c r="AJ124"/>
  <c r="AK124"/>
  <c r="AO124"/>
  <c r="BD124"/>
  <c r="BJ124"/>
  <c r="F125"/>
  <c r="H125" s="1"/>
  <c r="G125"/>
  <c r="I125"/>
  <c r="J125"/>
  <c r="AL125" s="1"/>
  <c r="L125"/>
  <c r="BF125" s="1"/>
  <c r="Z125"/>
  <c r="AB125"/>
  <c r="AC125"/>
  <c r="AD125"/>
  <c r="AE125"/>
  <c r="AF125"/>
  <c r="AG125"/>
  <c r="AH125"/>
  <c r="AJ125"/>
  <c r="AK125"/>
  <c r="AO125"/>
  <c r="AP125"/>
  <c r="AW125"/>
  <c r="AV125" s="1"/>
  <c r="AX125"/>
  <c r="BD125"/>
  <c r="BH125"/>
  <c r="BI125"/>
  <c r="BJ125"/>
  <c r="F126"/>
  <c r="L126" s="1"/>
  <c r="BF126" s="1"/>
  <c r="G126"/>
  <c r="AP126" s="1"/>
  <c r="I126" s="1"/>
  <c r="Z126"/>
  <c r="AD126"/>
  <c r="AE126"/>
  <c r="AF126"/>
  <c r="AG126"/>
  <c r="AH126"/>
  <c r="AJ126"/>
  <c r="AK126"/>
  <c r="AO126"/>
  <c r="BD126"/>
  <c r="BJ126"/>
  <c r="F127"/>
  <c r="H127" s="1"/>
  <c r="G127"/>
  <c r="I127"/>
  <c r="J127"/>
  <c r="AL127" s="1"/>
  <c r="L127"/>
  <c r="BF127" s="1"/>
  <c r="Z127"/>
  <c r="AB127"/>
  <c r="AC127"/>
  <c r="AD127"/>
  <c r="AE127"/>
  <c r="AF127"/>
  <c r="AG127"/>
  <c r="AH127"/>
  <c r="AJ127"/>
  <c r="AK127"/>
  <c r="AO127"/>
  <c r="AP127"/>
  <c r="AW127"/>
  <c r="AV127" s="1"/>
  <c r="AX127"/>
  <c r="BD127"/>
  <c r="BH127"/>
  <c r="BI127"/>
  <c r="BJ127"/>
  <c r="F128"/>
  <c r="L128" s="1"/>
  <c r="BF128" s="1"/>
  <c r="G128"/>
  <c r="AP128" s="1"/>
  <c r="I128" s="1"/>
  <c r="Z128"/>
  <c r="AD128"/>
  <c r="AE128"/>
  <c r="AF128"/>
  <c r="AG128"/>
  <c r="AH128"/>
  <c r="AJ128"/>
  <c r="AK128"/>
  <c r="AO128"/>
  <c r="BD128"/>
  <c r="BJ128"/>
  <c r="F129"/>
  <c r="H129" s="1"/>
  <c r="G129"/>
  <c r="I129"/>
  <c r="J129"/>
  <c r="AL129" s="1"/>
  <c r="L129"/>
  <c r="BF129" s="1"/>
  <c r="Z129"/>
  <c r="AB129"/>
  <c r="AC129"/>
  <c r="AD129"/>
  <c r="AE129"/>
  <c r="AF129"/>
  <c r="AG129"/>
  <c r="AH129"/>
  <c r="AJ129"/>
  <c r="AK129"/>
  <c r="AO129"/>
  <c r="AP129"/>
  <c r="AW129"/>
  <c r="AV129" s="1"/>
  <c r="AX129"/>
  <c r="BD129"/>
  <c r="BH129"/>
  <c r="BI129"/>
  <c r="BJ129"/>
  <c r="F130"/>
  <c r="L130" s="1"/>
  <c r="BF130" s="1"/>
  <c r="G130"/>
  <c r="AP130" s="1"/>
  <c r="I130" s="1"/>
  <c r="Z130"/>
  <c r="AD130"/>
  <c r="AE130"/>
  <c r="AF130"/>
  <c r="AG130"/>
  <c r="AH130"/>
  <c r="AJ130"/>
  <c r="AK130"/>
  <c r="AO130"/>
  <c r="BD130"/>
  <c r="BJ130"/>
  <c r="F131"/>
  <c r="H131" s="1"/>
  <c r="G131"/>
  <c r="I131"/>
  <c r="J131"/>
  <c r="AL131" s="1"/>
  <c r="L131"/>
  <c r="BF131" s="1"/>
  <c r="Z131"/>
  <c r="AB131"/>
  <c r="AC131"/>
  <c r="AD131"/>
  <c r="AE131"/>
  <c r="AF131"/>
  <c r="AG131"/>
  <c r="AH131"/>
  <c r="AJ131"/>
  <c r="AK131"/>
  <c r="AO131"/>
  <c r="AP131"/>
  <c r="AW131"/>
  <c r="AV131" s="1"/>
  <c r="AX131"/>
  <c r="BD131"/>
  <c r="BH131"/>
  <c r="BI131"/>
  <c r="BJ131"/>
  <c r="F132"/>
  <c r="L132" s="1"/>
  <c r="BF132" s="1"/>
  <c r="G132"/>
  <c r="AP132" s="1"/>
  <c r="I132" s="1"/>
  <c r="Z132"/>
  <c r="AD132"/>
  <c r="AE132"/>
  <c r="AF132"/>
  <c r="AG132"/>
  <c r="AH132"/>
  <c r="AJ132"/>
  <c r="AK132"/>
  <c r="AO132"/>
  <c r="BD132"/>
  <c r="BJ132"/>
  <c r="F133"/>
  <c r="H133" s="1"/>
  <c r="G133"/>
  <c r="I133"/>
  <c r="J133"/>
  <c r="AL133" s="1"/>
  <c r="L133"/>
  <c r="BF133" s="1"/>
  <c r="Z133"/>
  <c r="AB133"/>
  <c r="AC133"/>
  <c r="AD133"/>
  <c r="AE133"/>
  <c r="AF133"/>
  <c r="AG133"/>
  <c r="AH133"/>
  <c r="AJ133"/>
  <c r="AK133"/>
  <c r="AO133"/>
  <c r="AP133"/>
  <c r="AW133"/>
  <c r="AV133" s="1"/>
  <c r="AX133"/>
  <c r="BD133"/>
  <c r="BH133"/>
  <c r="BI133"/>
  <c r="BJ133"/>
  <c r="F134"/>
  <c r="L134" s="1"/>
  <c r="BF134" s="1"/>
  <c r="G134"/>
  <c r="AP134" s="1"/>
  <c r="I134" s="1"/>
  <c r="Z134"/>
  <c r="AD134"/>
  <c r="AE134"/>
  <c r="AF134"/>
  <c r="AG134"/>
  <c r="AH134"/>
  <c r="AJ134"/>
  <c r="AK134"/>
  <c r="AO134"/>
  <c r="BD134"/>
  <c r="BJ134"/>
  <c r="F135"/>
  <c r="H135" s="1"/>
  <c r="G135"/>
  <c r="I135"/>
  <c r="J135"/>
  <c r="AL135" s="1"/>
  <c r="L135"/>
  <c r="BF135" s="1"/>
  <c r="Z135"/>
  <c r="AB135"/>
  <c r="AC135"/>
  <c r="AD135"/>
  <c r="AE135"/>
  <c r="AF135"/>
  <c r="AG135"/>
  <c r="AH135"/>
  <c r="AJ135"/>
  <c r="AK135"/>
  <c r="AO135"/>
  <c r="AP135"/>
  <c r="AW135"/>
  <c r="AV135" s="1"/>
  <c r="AX135"/>
  <c r="BD135"/>
  <c r="BH135"/>
  <c r="BI135"/>
  <c r="BJ135"/>
  <c r="F137"/>
  <c r="L137" s="1"/>
  <c r="G137"/>
  <c r="BD137" s="1"/>
  <c r="J137"/>
  <c r="AL137" s="1"/>
  <c r="Z137"/>
  <c r="AD137"/>
  <c r="AE137"/>
  <c r="AF137"/>
  <c r="AG137"/>
  <c r="AH137"/>
  <c r="AJ137"/>
  <c r="AS136" s="1"/>
  <c r="AK137"/>
  <c r="AT136" s="1"/>
  <c r="AO137"/>
  <c r="AW137"/>
  <c r="BH137"/>
  <c r="AB137" s="1"/>
  <c r="F139"/>
  <c r="L139" s="1"/>
  <c r="BF139" s="1"/>
  <c r="G139"/>
  <c r="Z139"/>
  <c r="AD139"/>
  <c r="AE139"/>
  <c r="AF139"/>
  <c r="AG139"/>
  <c r="AH139"/>
  <c r="AJ139"/>
  <c r="AK139"/>
  <c r="AO139"/>
  <c r="AP139"/>
  <c r="BD139"/>
  <c r="F140"/>
  <c r="L140" s="1"/>
  <c r="BF140" s="1"/>
  <c r="G140"/>
  <c r="BD140" s="1"/>
  <c r="J140"/>
  <c r="AL140" s="1"/>
  <c r="Z140"/>
  <c r="AD140"/>
  <c r="AE140"/>
  <c r="AF140"/>
  <c r="AG140"/>
  <c r="AH140"/>
  <c r="AJ140"/>
  <c r="AK140"/>
  <c r="AO140"/>
  <c r="AW140"/>
  <c r="BH140"/>
  <c r="AB140" s="1"/>
  <c r="F141"/>
  <c r="L141" s="1"/>
  <c r="BF141" s="1"/>
  <c r="G141"/>
  <c r="Z141"/>
  <c r="AD141"/>
  <c r="AE141"/>
  <c r="AF141"/>
  <c r="AG141"/>
  <c r="AH141"/>
  <c r="AJ141"/>
  <c r="AK141"/>
  <c r="AO141"/>
  <c r="AP141"/>
  <c r="BD141"/>
  <c r="AS143"/>
  <c r="F144"/>
  <c r="G144"/>
  <c r="AP144" s="1"/>
  <c r="L144"/>
  <c r="BF144" s="1"/>
  <c r="Z144"/>
  <c r="AD144"/>
  <c r="AE144"/>
  <c r="AF144"/>
  <c r="AG144"/>
  <c r="AH144"/>
  <c r="AJ144"/>
  <c r="AK144"/>
  <c r="AT143" s="1"/>
  <c r="AO144"/>
  <c r="H144" s="1"/>
  <c r="H143" s="1"/>
  <c r="I22" i="2" s="1"/>
  <c r="BH144" i="6"/>
  <c r="AB144" s="1"/>
  <c r="AT145"/>
  <c r="F146"/>
  <c r="L146" s="1"/>
  <c r="G146"/>
  <c r="H146"/>
  <c r="H145" s="1"/>
  <c r="I23" i="2" s="1"/>
  <c r="Z146" i="6"/>
  <c r="AB146"/>
  <c r="AD146"/>
  <c r="AE146"/>
  <c r="AF146"/>
  <c r="AG146"/>
  <c r="AH146"/>
  <c r="AJ146"/>
  <c r="AS145" s="1"/>
  <c r="AK146"/>
  <c r="AO146"/>
  <c r="AP146"/>
  <c r="BD146"/>
  <c r="BH146"/>
  <c r="BI146"/>
  <c r="AC146" s="1"/>
  <c r="F148"/>
  <c r="G148"/>
  <c r="I148"/>
  <c r="J148"/>
  <c r="AL148" s="1"/>
  <c r="L148"/>
  <c r="BF148" s="1"/>
  <c r="Z148"/>
  <c r="AB148"/>
  <c r="AD148"/>
  <c r="AE148"/>
  <c r="AF148"/>
  <c r="AG148"/>
  <c r="AH148"/>
  <c r="AJ148"/>
  <c r="AS147" s="1"/>
  <c r="AK148"/>
  <c r="AT147" s="1"/>
  <c r="AO148"/>
  <c r="H148" s="1"/>
  <c r="AP148"/>
  <c r="AV148"/>
  <c r="AW148"/>
  <c r="BC148" s="1"/>
  <c r="AX148"/>
  <c r="BD148"/>
  <c r="BH148"/>
  <c r="BI148"/>
  <c r="AC148" s="1"/>
  <c r="BJ148"/>
  <c r="F150"/>
  <c r="L150" s="1"/>
  <c r="G150"/>
  <c r="AP150" s="1"/>
  <c r="I150" s="1"/>
  <c r="Z150"/>
  <c r="AD150"/>
  <c r="AE150"/>
  <c r="AF150"/>
  <c r="AG150"/>
  <c r="AH150"/>
  <c r="AJ150"/>
  <c r="AK150"/>
  <c r="AO150"/>
  <c r="BD150"/>
  <c r="BJ150"/>
  <c r="F152"/>
  <c r="H152" s="1"/>
  <c r="G152"/>
  <c r="I152"/>
  <c r="J152"/>
  <c r="AL152" s="1"/>
  <c r="L152"/>
  <c r="Z152"/>
  <c r="AB152"/>
  <c r="AC152"/>
  <c r="AD152"/>
  <c r="AE152"/>
  <c r="AF152"/>
  <c r="AG152"/>
  <c r="AH152"/>
  <c r="AJ152"/>
  <c r="AK152"/>
  <c r="AO152"/>
  <c r="AP152"/>
  <c r="AV152"/>
  <c r="AW152"/>
  <c r="BC152" s="1"/>
  <c r="AX152"/>
  <c r="BD152"/>
  <c r="BF152"/>
  <c r="BH152"/>
  <c r="BI152"/>
  <c r="BJ152"/>
  <c r="F154"/>
  <c r="L154" s="1"/>
  <c r="BF154" s="1"/>
  <c r="G154"/>
  <c r="AP154" s="1"/>
  <c r="I154" s="1"/>
  <c r="Z154"/>
  <c r="AD154"/>
  <c r="AE154"/>
  <c r="AF154"/>
  <c r="AG154"/>
  <c r="AH154"/>
  <c r="AJ154"/>
  <c r="AK154"/>
  <c r="AO154"/>
  <c r="BD154"/>
  <c r="BJ154"/>
  <c r="F155"/>
  <c r="H155" s="1"/>
  <c r="G155"/>
  <c r="AP155" s="1"/>
  <c r="J155"/>
  <c r="AL155" s="1"/>
  <c r="L155"/>
  <c r="Z155"/>
  <c r="AB155"/>
  <c r="AD155"/>
  <c r="AE155"/>
  <c r="AF155"/>
  <c r="AG155"/>
  <c r="AH155"/>
  <c r="AJ155"/>
  <c r="AK155"/>
  <c r="AO155"/>
  <c r="AW155"/>
  <c r="BD155"/>
  <c r="BF155"/>
  <c r="BH155"/>
  <c r="BJ155"/>
  <c r="F156"/>
  <c r="L156" s="1"/>
  <c r="BF156" s="1"/>
  <c r="G156"/>
  <c r="AP156" s="1"/>
  <c r="I156" s="1"/>
  <c r="Z156"/>
  <c r="AD156"/>
  <c r="AE156"/>
  <c r="AF156"/>
  <c r="AG156"/>
  <c r="AH156"/>
  <c r="AJ156"/>
  <c r="AK156"/>
  <c r="AO156"/>
  <c r="BD156"/>
  <c r="BJ156"/>
  <c r="F159"/>
  <c r="L159" s="1"/>
  <c r="G159"/>
  <c r="J159"/>
  <c r="Z159"/>
  <c r="AD159"/>
  <c r="AE159"/>
  <c r="AF159"/>
  <c r="AG159"/>
  <c r="AH159"/>
  <c r="AJ159"/>
  <c r="AK159"/>
  <c r="AT158" s="1"/>
  <c r="AL159"/>
  <c r="AO159"/>
  <c r="AP159"/>
  <c r="AW159"/>
  <c r="BD159"/>
  <c r="F161"/>
  <c r="BH161" s="1"/>
  <c r="AB161" s="1"/>
  <c r="G161"/>
  <c r="BD161" s="1"/>
  <c r="J161"/>
  <c r="Z161"/>
  <c r="AD161"/>
  <c r="AE161"/>
  <c r="AF161"/>
  <c r="AG161"/>
  <c r="AH161"/>
  <c r="AJ161"/>
  <c r="AK161"/>
  <c r="AL161"/>
  <c r="AO161"/>
  <c r="AW161"/>
  <c r="F162"/>
  <c r="L162" s="1"/>
  <c r="BF162" s="1"/>
  <c r="G162"/>
  <c r="Z162"/>
  <c r="AD162"/>
  <c r="AE162"/>
  <c r="AF162"/>
  <c r="AG162"/>
  <c r="AH162"/>
  <c r="AJ162"/>
  <c r="AS158" s="1"/>
  <c r="AK162"/>
  <c r="AO162"/>
  <c r="AP162"/>
  <c r="AW162"/>
  <c r="BD162"/>
  <c r="F164"/>
  <c r="BH164" s="1"/>
  <c r="AB164" s="1"/>
  <c r="G164"/>
  <c r="BD164" s="1"/>
  <c r="J164"/>
  <c r="Z164"/>
  <c r="AD164"/>
  <c r="AE164"/>
  <c r="AF164"/>
  <c r="AG164"/>
  <c r="AH164"/>
  <c r="AJ164"/>
  <c r="AK164"/>
  <c r="AL164"/>
  <c r="AO164"/>
  <c r="AW164"/>
  <c r="F166"/>
  <c r="H166" s="1"/>
  <c r="G166"/>
  <c r="J166" s="1"/>
  <c r="L166"/>
  <c r="L165" s="1"/>
  <c r="L26" i="2" s="1"/>
  <c r="Z166" i="6"/>
  <c r="AD166"/>
  <c r="AE166"/>
  <c r="AF166"/>
  <c r="AG166"/>
  <c r="AH166"/>
  <c r="AJ166"/>
  <c r="AK166"/>
  <c r="AT165" s="1"/>
  <c r="AO166"/>
  <c r="AW166" s="1"/>
  <c r="BH166"/>
  <c r="AB166" s="1"/>
  <c r="F168"/>
  <c r="G168"/>
  <c r="AP168" s="1"/>
  <c r="L168"/>
  <c r="BF168" s="1"/>
  <c r="Z168"/>
  <c r="AD168"/>
  <c r="AE168"/>
  <c r="AF168"/>
  <c r="AG168"/>
  <c r="AH168"/>
  <c r="AJ168"/>
  <c r="AK168"/>
  <c r="AO168"/>
  <c r="H168" s="1"/>
  <c r="BH168"/>
  <c r="AB168" s="1"/>
  <c r="F170"/>
  <c r="J170" s="1"/>
  <c r="AL170" s="1"/>
  <c r="G170"/>
  <c r="BJ170" s="1"/>
  <c r="L170"/>
  <c r="BF170" s="1"/>
  <c r="Z170"/>
  <c r="AD170"/>
  <c r="AE170"/>
  <c r="AF170"/>
  <c r="AG170"/>
  <c r="AH170"/>
  <c r="AJ170"/>
  <c r="AS165" s="1"/>
  <c r="AK170"/>
  <c r="AO170"/>
  <c r="AW170" s="1"/>
  <c r="BH170"/>
  <c r="AB170" s="1"/>
  <c r="F172"/>
  <c r="G172"/>
  <c r="AP172" s="1"/>
  <c r="L172"/>
  <c r="BF172" s="1"/>
  <c r="Z172"/>
  <c r="AD172"/>
  <c r="AE172"/>
  <c r="AF172"/>
  <c r="AG172"/>
  <c r="AH172"/>
  <c r="AJ172"/>
  <c r="AK172"/>
  <c r="AO172"/>
  <c r="H172" s="1"/>
  <c r="BH172"/>
  <c r="AB172" s="1"/>
  <c r="F174"/>
  <c r="J174" s="1"/>
  <c r="AL174" s="1"/>
  <c r="G174"/>
  <c r="BJ174" s="1"/>
  <c r="L174"/>
  <c r="BF174" s="1"/>
  <c r="Z174"/>
  <c r="AD174"/>
  <c r="AE174"/>
  <c r="AF174"/>
  <c r="AG174"/>
  <c r="AH174"/>
  <c r="AJ174"/>
  <c r="AK174"/>
  <c r="AO174"/>
  <c r="AW174" s="1"/>
  <c r="BH174"/>
  <c r="AB174" s="1"/>
  <c r="F175"/>
  <c r="G175"/>
  <c r="AP175" s="1"/>
  <c r="L175"/>
  <c r="BF175" s="1"/>
  <c r="Z175"/>
  <c r="AD175"/>
  <c r="AE175"/>
  <c r="AF175"/>
  <c r="AG175"/>
  <c r="AH175"/>
  <c r="AJ175"/>
  <c r="AK175"/>
  <c r="AO175"/>
  <c r="H175" s="1"/>
  <c r="BH175"/>
  <c r="AB175" s="1"/>
  <c r="F177"/>
  <c r="J177" s="1"/>
  <c r="AL177" s="1"/>
  <c r="G177"/>
  <c r="BJ177" s="1"/>
  <c r="L177"/>
  <c r="BF177" s="1"/>
  <c r="Z177"/>
  <c r="AD177"/>
  <c r="AE177"/>
  <c r="AF177"/>
  <c r="AG177"/>
  <c r="AH177"/>
  <c r="AJ177"/>
  <c r="AK177"/>
  <c r="AO177"/>
  <c r="AW177" s="1"/>
  <c r="BH177"/>
  <c r="AB177" s="1"/>
  <c r="AT180"/>
  <c r="F181"/>
  <c r="G181"/>
  <c r="BD181" s="1"/>
  <c r="H181"/>
  <c r="H180" s="1"/>
  <c r="I27" i="2" s="1"/>
  <c r="J181" i="6"/>
  <c r="J180" s="1"/>
  <c r="K27" i="2" s="1"/>
  <c r="N27" s="1"/>
  <c r="L181" i="6"/>
  <c r="L180" s="1"/>
  <c r="L27" i="2" s="1"/>
  <c r="Z181" i="6"/>
  <c r="AD181"/>
  <c r="AE181"/>
  <c r="AF181"/>
  <c r="AG181"/>
  <c r="AH181"/>
  <c r="AJ181"/>
  <c r="AS180" s="1"/>
  <c r="AK181"/>
  <c r="AL181"/>
  <c r="AU180" s="1"/>
  <c r="AO181"/>
  <c r="AP181"/>
  <c r="I181" s="1"/>
  <c r="I180" s="1"/>
  <c r="J27" i="2" s="1"/>
  <c r="AW181" i="6"/>
  <c r="BF181"/>
  <c r="BH181"/>
  <c r="AB181" s="1"/>
  <c r="BI181"/>
  <c r="AC181" s="1"/>
  <c r="BJ181"/>
  <c r="F184"/>
  <c r="J184" s="1"/>
  <c r="G184"/>
  <c r="I184"/>
  <c r="I183" s="1"/>
  <c r="J28" i="2" s="1"/>
  <c r="L184" i="6"/>
  <c r="L183" s="1"/>
  <c r="L28" i="2" s="1"/>
  <c r="Z184" i="6"/>
  <c r="AB184"/>
  <c r="AC184"/>
  <c r="AF184"/>
  <c r="AG184"/>
  <c r="AH184"/>
  <c r="AJ184"/>
  <c r="AS183" s="1"/>
  <c r="AK184"/>
  <c r="AT183" s="1"/>
  <c r="AO184"/>
  <c r="H184" s="1"/>
  <c r="AP184"/>
  <c r="AX184" s="1"/>
  <c r="BD184"/>
  <c r="BF184"/>
  <c r="BH184"/>
  <c r="AD184" s="1"/>
  <c r="BI184"/>
  <c r="AE184" s="1"/>
  <c r="BJ184"/>
  <c r="F185"/>
  <c r="G185"/>
  <c r="J185" s="1"/>
  <c r="AL185" s="1"/>
  <c r="I185"/>
  <c r="L185"/>
  <c r="BF185" s="1"/>
  <c r="Z185"/>
  <c r="AB185"/>
  <c r="AC185"/>
  <c r="AF185"/>
  <c r="AG185"/>
  <c r="AH185"/>
  <c r="AJ185"/>
  <c r="AK185"/>
  <c r="AO185"/>
  <c r="AW185" s="1"/>
  <c r="AP185"/>
  <c r="AX185"/>
  <c r="BD185"/>
  <c r="BH185"/>
  <c r="AD185" s="1"/>
  <c r="BI185"/>
  <c r="AE185" s="1"/>
  <c r="BJ185"/>
  <c r="F186"/>
  <c r="J186" s="1"/>
  <c r="AL186" s="1"/>
  <c r="G186"/>
  <c r="I186"/>
  <c r="L186"/>
  <c r="Z186"/>
  <c r="AB186"/>
  <c r="AC186"/>
  <c r="AF186"/>
  <c r="AG186"/>
  <c r="AH186"/>
  <c r="AJ186"/>
  <c r="AK186"/>
  <c r="AO186"/>
  <c r="H186" s="1"/>
  <c r="AP186"/>
  <c r="AX186" s="1"/>
  <c r="BD186"/>
  <c r="BF186"/>
  <c r="BH186"/>
  <c r="AD186" s="1"/>
  <c r="BI186"/>
  <c r="AE186" s="1"/>
  <c r="BJ186"/>
  <c r="F189"/>
  <c r="G189"/>
  <c r="I189"/>
  <c r="J189"/>
  <c r="AL189" s="1"/>
  <c r="L189"/>
  <c r="BF189" s="1"/>
  <c r="AB189"/>
  <c r="AC189"/>
  <c r="AD189"/>
  <c r="AE189"/>
  <c r="AF189"/>
  <c r="AG189"/>
  <c r="AH189"/>
  <c r="AJ189"/>
  <c r="AK189"/>
  <c r="AO189"/>
  <c r="H189" s="1"/>
  <c r="AP189"/>
  <c r="AV189"/>
  <c r="AW189"/>
  <c r="BC189" s="1"/>
  <c r="AX189"/>
  <c r="BD189"/>
  <c r="BH189"/>
  <c r="BI189"/>
  <c r="BJ189"/>
  <c r="Z189" s="1"/>
  <c r="F191"/>
  <c r="L191" s="1"/>
  <c r="G191"/>
  <c r="BD191" s="1"/>
  <c r="J191"/>
  <c r="AL191" s="1"/>
  <c r="Z191"/>
  <c r="AB191"/>
  <c r="AC191"/>
  <c r="AF191"/>
  <c r="AG191"/>
  <c r="AH191"/>
  <c r="AJ191"/>
  <c r="AS190" s="1"/>
  <c r="AK191"/>
  <c r="AT190" s="1"/>
  <c r="AO191"/>
  <c r="AP191"/>
  <c r="AW191"/>
  <c r="BH191"/>
  <c r="AD191" s="1"/>
  <c r="BI191"/>
  <c r="AE191" s="1"/>
  <c r="BJ191"/>
  <c r="F193"/>
  <c r="L193" s="1"/>
  <c r="BF193" s="1"/>
  <c r="G193"/>
  <c r="Z193"/>
  <c r="AB193"/>
  <c r="AC193"/>
  <c r="AF193"/>
  <c r="AG193"/>
  <c r="AH193"/>
  <c r="AJ193"/>
  <c r="AK193"/>
  <c r="AO193"/>
  <c r="AP193"/>
  <c r="BD193"/>
  <c r="F195"/>
  <c r="L195" s="1"/>
  <c r="BF195" s="1"/>
  <c r="G195"/>
  <c r="BD195" s="1"/>
  <c r="J195"/>
  <c r="AL195" s="1"/>
  <c r="Z195"/>
  <c r="AB195"/>
  <c r="AC195"/>
  <c r="AF195"/>
  <c r="AG195"/>
  <c r="AH195"/>
  <c r="AJ195"/>
  <c r="AK195"/>
  <c r="AO195"/>
  <c r="AP195"/>
  <c r="AW195"/>
  <c r="BH195"/>
  <c r="AD195" s="1"/>
  <c r="BI195"/>
  <c r="AE195" s="1"/>
  <c r="BJ195"/>
  <c r="F197"/>
  <c r="L197" s="1"/>
  <c r="BF197" s="1"/>
  <c r="G197"/>
  <c r="Z197"/>
  <c r="AB197"/>
  <c r="AC197"/>
  <c r="AF197"/>
  <c r="AG197"/>
  <c r="AH197"/>
  <c r="AJ197"/>
  <c r="AK197"/>
  <c r="AO197"/>
  <c r="AP197"/>
  <c r="BD197"/>
  <c r="F199"/>
  <c r="L199" s="1"/>
  <c r="BF199" s="1"/>
  <c r="G199"/>
  <c r="BD199" s="1"/>
  <c r="J199"/>
  <c r="AL199" s="1"/>
  <c r="Z199"/>
  <c r="AB199"/>
  <c r="AC199"/>
  <c r="AF199"/>
  <c r="AG199"/>
  <c r="AH199"/>
  <c r="AJ199"/>
  <c r="AK199"/>
  <c r="AO199"/>
  <c r="H199" s="1"/>
  <c r="AP199"/>
  <c r="I199" s="1"/>
  <c r="AW199"/>
  <c r="BH199"/>
  <c r="AD199" s="1"/>
  <c r="BI199"/>
  <c r="AE199" s="1"/>
  <c r="BJ199"/>
  <c r="F200"/>
  <c r="L200" s="1"/>
  <c r="BF200" s="1"/>
  <c r="G200"/>
  <c r="Z200"/>
  <c r="AB200"/>
  <c r="AC200"/>
  <c r="AF200"/>
  <c r="AG200"/>
  <c r="AH200"/>
  <c r="AJ200"/>
  <c r="AK200"/>
  <c r="AO200"/>
  <c r="AP200"/>
  <c r="BD200"/>
  <c r="F202"/>
  <c r="L202" s="1"/>
  <c r="BF202" s="1"/>
  <c r="G202"/>
  <c r="BD202" s="1"/>
  <c r="J202"/>
  <c r="AL202" s="1"/>
  <c r="Z202"/>
  <c r="AB202"/>
  <c r="AC202"/>
  <c r="AF202"/>
  <c r="AG202"/>
  <c r="AH202"/>
  <c r="AJ202"/>
  <c r="AK202"/>
  <c r="AO202"/>
  <c r="H202" s="1"/>
  <c r="AP202"/>
  <c r="I202" s="1"/>
  <c r="AW202"/>
  <c r="BH202"/>
  <c r="AD202" s="1"/>
  <c r="BI202"/>
  <c r="AE202" s="1"/>
  <c r="BJ202"/>
  <c r="F204"/>
  <c r="L204" s="1"/>
  <c r="BF204" s="1"/>
  <c r="G204"/>
  <c r="Z204"/>
  <c r="AB204"/>
  <c r="AC204"/>
  <c r="AF204"/>
  <c r="AG204"/>
  <c r="AH204"/>
  <c r="AJ204"/>
  <c r="AK204"/>
  <c r="AO204"/>
  <c r="AP204"/>
  <c r="AW204"/>
  <c r="BD204"/>
  <c r="F206"/>
  <c r="L206" s="1"/>
  <c r="BF206" s="1"/>
  <c r="G206"/>
  <c r="BD206" s="1"/>
  <c r="J206"/>
  <c r="AL206" s="1"/>
  <c r="AB206"/>
  <c r="AC206"/>
  <c r="AD206"/>
  <c r="AE206"/>
  <c r="AF206"/>
  <c r="AG206"/>
  <c r="AH206"/>
  <c r="AJ206"/>
  <c r="AK206"/>
  <c r="AO206"/>
  <c r="H206" s="1"/>
  <c r="AP206"/>
  <c r="I206" s="1"/>
  <c r="AW206"/>
  <c r="BH206"/>
  <c r="BI206"/>
  <c r="BJ206"/>
  <c r="Z206" s="1"/>
  <c r="F208"/>
  <c r="L208" s="1"/>
  <c r="G208"/>
  <c r="AP208" s="1"/>
  <c r="AX208" s="1"/>
  <c r="Z208"/>
  <c r="AB208"/>
  <c r="AC208"/>
  <c r="AF208"/>
  <c r="AG208"/>
  <c r="AH208"/>
  <c r="AJ208"/>
  <c r="AK208"/>
  <c r="AT207" s="1"/>
  <c r="AO208"/>
  <c r="BD208"/>
  <c r="BH208"/>
  <c r="AD208" s="1"/>
  <c r="F209"/>
  <c r="G209"/>
  <c r="BD209" s="1"/>
  <c r="I209"/>
  <c r="J209"/>
  <c r="AL209" s="1"/>
  <c r="L209"/>
  <c r="BF209" s="1"/>
  <c r="Z209"/>
  <c r="AB209"/>
  <c r="AC209"/>
  <c r="AF209"/>
  <c r="AG209"/>
  <c r="AH209"/>
  <c r="AJ209"/>
  <c r="AK209"/>
  <c r="AO209"/>
  <c r="H209" s="1"/>
  <c r="AP209"/>
  <c r="AW209"/>
  <c r="AX209"/>
  <c r="AV209" s="1"/>
  <c r="BH209"/>
  <c r="AD209" s="1"/>
  <c r="BI209"/>
  <c r="AE209" s="1"/>
  <c r="BJ209"/>
  <c r="F210"/>
  <c r="G210"/>
  <c r="AP210" s="1"/>
  <c r="L210"/>
  <c r="BF210" s="1"/>
  <c r="Z210"/>
  <c r="AB210"/>
  <c r="AC210"/>
  <c r="AF210"/>
  <c r="AG210"/>
  <c r="AH210"/>
  <c r="AJ210"/>
  <c r="AK210"/>
  <c r="AO210"/>
  <c r="BH210" s="1"/>
  <c r="AD210" s="1"/>
  <c r="BD210"/>
  <c r="F211"/>
  <c r="G211"/>
  <c r="BD211" s="1"/>
  <c r="H211"/>
  <c r="J211"/>
  <c r="AL211" s="1"/>
  <c r="L211"/>
  <c r="Z211"/>
  <c r="AB211"/>
  <c r="AC211"/>
  <c r="AF211"/>
  <c r="AG211"/>
  <c r="AH211"/>
  <c r="AJ211"/>
  <c r="AK211"/>
  <c r="AO211"/>
  <c r="BH211" s="1"/>
  <c r="AD211" s="1"/>
  <c r="AP211"/>
  <c r="I211" s="1"/>
  <c r="AW211"/>
  <c r="BF211"/>
  <c r="BJ211"/>
  <c r="F212"/>
  <c r="J212" s="1"/>
  <c r="AL212" s="1"/>
  <c r="G212"/>
  <c r="AP212" s="1"/>
  <c r="I212" s="1"/>
  <c r="L212"/>
  <c r="Z212"/>
  <c r="AB212"/>
  <c r="AC212"/>
  <c r="AF212"/>
  <c r="AG212"/>
  <c r="AH212"/>
  <c r="AJ212"/>
  <c r="AK212"/>
  <c r="BF212"/>
  <c r="F213"/>
  <c r="G213"/>
  <c r="BD213" s="1"/>
  <c r="L213"/>
  <c r="BF213" s="1"/>
  <c r="Z213"/>
  <c r="AB213"/>
  <c r="AC213"/>
  <c r="AD213"/>
  <c r="AF213"/>
  <c r="AG213"/>
  <c r="AH213"/>
  <c r="AJ213"/>
  <c r="AK213"/>
  <c r="AO213"/>
  <c r="AW213" s="1"/>
  <c r="BH213"/>
  <c r="F215"/>
  <c r="J215" s="1"/>
  <c r="AL215" s="1"/>
  <c r="G215"/>
  <c r="BD215" s="1"/>
  <c r="H215"/>
  <c r="I215"/>
  <c r="L215"/>
  <c r="BF215" s="1"/>
  <c r="Z215"/>
  <c r="AB215"/>
  <c r="AC215"/>
  <c r="AF215"/>
  <c r="AG215"/>
  <c r="AH215"/>
  <c r="AJ215"/>
  <c r="AK215"/>
  <c r="AO215"/>
  <c r="AP215"/>
  <c r="AX215"/>
  <c r="BH215"/>
  <c r="AD215" s="1"/>
  <c r="BI215"/>
  <c r="AE215" s="1"/>
  <c r="BJ215"/>
  <c r="F216"/>
  <c r="G216"/>
  <c r="BD216" s="1"/>
  <c r="L216"/>
  <c r="BF216" s="1"/>
  <c r="Z216"/>
  <c r="AB216"/>
  <c r="AC216"/>
  <c r="AD216"/>
  <c r="AF216"/>
  <c r="AG216"/>
  <c r="AH216"/>
  <c r="AJ216"/>
  <c r="AK216"/>
  <c r="AO216"/>
  <c r="AW216" s="1"/>
  <c r="BH216"/>
  <c r="F218"/>
  <c r="J218" s="1"/>
  <c r="AL218" s="1"/>
  <c r="G218"/>
  <c r="BD218" s="1"/>
  <c r="H218"/>
  <c r="I218"/>
  <c r="L218"/>
  <c r="BF218" s="1"/>
  <c r="AB218"/>
  <c r="AC218"/>
  <c r="AD218"/>
  <c r="AE218"/>
  <c r="AF218"/>
  <c r="AG218"/>
  <c r="AH218"/>
  <c r="AJ218"/>
  <c r="AK218"/>
  <c r="AO218"/>
  <c r="AP218"/>
  <c r="AX218"/>
  <c r="BH218"/>
  <c r="BI218"/>
  <c r="BJ218"/>
  <c r="Z218" s="1"/>
  <c r="F220"/>
  <c r="BH220" s="1"/>
  <c r="AD220" s="1"/>
  <c r="G220"/>
  <c r="H220"/>
  <c r="H219" s="1"/>
  <c r="I31" i="2" s="1"/>
  <c r="Z220" i="6"/>
  <c r="AB220"/>
  <c r="AC220"/>
  <c r="AE220"/>
  <c r="AF220"/>
  <c r="AG220"/>
  <c r="AH220"/>
  <c r="AJ220"/>
  <c r="AS219" s="1"/>
  <c r="AK220"/>
  <c r="AT219" s="1"/>
  <c r="AO220"/>
  <c r="AP220"/>
  <c r="BD220"/>
  <c r="BI220"/>
  <c r="F222"/>
  <c r="G222"/>
  <c r="H222"/>
  <c r="I222"/>
  <c r="J222"/>
  <c r="AL222" s="1"/>
  <c r="L222"/>
  <c r="BF222" s="1"/>
  <c r="Z222"/>
  <c r="AB222"/>
  <c r="AC222"/>
  <c r="AF222"/>
  <c r="AG222"/>
  <c r="AH222"/>
  <c r="AJ222"/>
  <c r="AK222"/>
  <c r="AO222"/>
  <c r="AP222"/>
  <c r="AX222" s="1"/>
  <c r="BC222" s="1"/>
  <c r="AW222"/>
  <c r="BD222"/>
  <c r="BH222"/>
  <c r="AD222" s="1"/>
  <c r="BI222"/>
  <c r="AE222" s="1"/>
  <c r="BJ222"/>
  <c r="F223"/>
  <c r="BH223" s="1"/>
  <c r="AD223" s="1"/>
  <c r="G223"/>
  <c r="H223"/>
  <c r="Z223"/>
  <c r="AB223"/>
  <c r="AC223"/>
  <c r="AF223"/>
  <c r="AG223"/>
  <c r="AH223"/>
  <c r="AJ223"/>
  <c r="AK223"/>
  <c r="AO223"/>
  <c r="AP223"/>
  <c r="BD223"/>
  <c r="BI223"/>
  <c r="AE223" s="1"/>
  <c r="F225"/>
  <c r="G225"/>
  <c r="H225"/>
  <c r="I225"/>
  <c r="J225"/>
  <c r="AL225" s="1"/>
  <c r="L225"/>
  <c r="BF225" s="1"/>
  <c r="Z225"/>
  <c r="AB225"/>
  <c r="AC225"/>
  <c r="AF225"/>
  <c r="AG225"/>
  <c r="AH225"/>
  <c r="AJ225"/>
  <c r="AK225"/>
  <c r="AO225"/>
  <c r="AP225"/>
  <c r="AX225" s="1"/>
  <c r="BC225" s="1"/>
  <c r="AW225"/>
  <c r="BD225"/>
  <c r="BH225"/>
  <c r="AD225" s="1"/>
  <c r="BI225"/>
  <c r="AE225" s="1"/>
  <c r="BJ225"/>
  <c r="F228"/>
  <c r="BH228" s="1"/>
  <c r="G228"/>
  <c r="H228"/>
  <c r="AB228"/>
  <c r="AC228"/>
  <c r="AD228"/>
  <c r="AE228"/>
  <c r="AF228"/>
  <c r="AG228"/>
  <c r="AH228"/>
  <c r="AJ228"/>
  <c r="AK228"/>
  <c r="AO228"/>
  <c r="AP228"/>
  <c r="BI228" s="1"/>
  <c r="BD228"/>
  <c r="F230"/>
  <c r="H230" s="1"/>
  <c r="G230"/>
  <c r="I230"/>
  <c r="J230"/>
  <c r="L230"/>
  <c r="Z230"/>
  <c r="AB230"/>
  <c r="AC230"/>
  <c r="AF230"/>
  <c r="AG230"/>
  <c r="AH230"/>
  <c r="AJ230"/>
  <c r="AK230"/>
  <c r="AT229" s="1"/>
  <c r="AO230"/>
  <c r="AP230"/>
  <c r="AW230"/>
  <c r="BC230" s="1"/>
  <c r="AX230"/>
  <c r="BD230"/>
  <c r="BI230"/>
  <c r="AE230" s="1"/>
  <c r="BJ230"/>
  <c r="F232"/>
  <c r="H232" s="1"/>
  <c r="G232"/>
  <c r="AP232" s="1"/>
  <c r="I232" s="1"/>
  <c r="Z232"/>
  <c r="AB232"/>
  <c r="AC232"/>
  <c r="AF232"/>
  <c r="AG232"/>
  <c r="AH232"/>
  <c r="AJ232"/>
  <c r="AK232"/>
  <c r="AO232"/>
  <c r="BH232"/>
  <c r="AD232" s="1"/>
  <c r="BJ232"/>
  <c r="F234"/>
  <c r="BH234" s="1"/>
  <c r="AD234" s="1"/>
  <c r="G234"/>
  <c r="H234"/>
  <c r="I234"/>
  <c r="J234"/>
  <c r="AL234" s="1"/>
  <c r="L234"/>
  <c r="BF234" s="1"/>
  <c r="Z234"/>
  <c r="AB234"/>
  <c r="AC234"/>
  <c r="AF234"/>
  <c r="AG234"/>
  <c r="AH234"/>
  <c r="AJ234"/>
  <c r="AK234"/>
  <c r="AO234"/>
  <c r="AP234"/>
  <c r="AW234"/>
  <c r="BC234" s="1"/>
  <c r="AX234"/>
  <c r="BD234"/>
  <c r="BI234"/>
  <c r="AE234" s="1"/>
  <c r="BJ234"/>
  <c r="F236"/>
  <c r="H236" s="1"/>
  <c r="G236"/>
  <c r="AP236" s="1"/>
  <c r="I236" s="1"/>
  <c r="Z236"/>
  <c r="AB236"/>
  <c r="AC236"/>
  <c r="AF236"/>
  <c r="AG236"/>
  <c r="AH236"/>
  <c r="AJ236"/>
  <c r="AK236"/>
  <c r="AO236"/>
  <c r="BH236"/>
  <c r="AD236" s="1"/>
  <c r="BJ236"/>
  <c r="F237"/>
  <c r="BH237" s="1"/>
  <c r="AD237" s="1"/>
  <c r="G237"/>
  <c r="H237"/>
  <c r="I237"/>
  <c r="J237"/>
  <c r="AL237" s="1"/>
  <c r="L237"/>
  <c r="BF237" s="1"/>
  <c r="Z237"/>
  <c r="AB237"/>
  <c r="AC237"/>
  <c r="AF237"/>
  <c r="AG237"/>
  <c r="AH237"/>
  <c r="AJ237"/>
  <c r="AK237"/>
  <c r="AO237"/>
  <c r="AP237"/>
  <c r="AW237"/>
  <c r="BC237" s="1"/>
  <c r="AX237"/>
  <c r="BD237"/>
  <c r="BI237"/>
  <c r="AE237" s="1"/>
  <c r="BJ237"/>
  <c r="F238"/>
  <c r="H238" s="1"/>
  <c r="G238"/>
  <c r="AP238" s="1"/>
  <c r="I238" s="1"/>
  <c r="Z238"/>
  <c r="AB238"/>
  <c r="AC238"/>
  <c r="AF238"/>
  <c r="AG238"/>
  <c r="AH238"/>
  <c r="AJ238"/>
  <c r="AK238"/>
  <c r="AO238"/>
  <c r="BH238"/>
  <c r="AD238" s="1"/>
  <c r="BJ238"/>
  <c r="F239"/>
  <c r="BH239" s="1"/>
  <c r="AD239" s="1"/>
  <c r="G239"/>
  <c r="H239"/>
  <c r="I239"/>
  <c r="J239"/>
  <c r="AL239" s="1"/>
  <c r="L239"/>
  <c r="BF239" s="1"/>
  <c r="Z239"/>
  <c r="AB239"/>
  <c r="AC239"/>
  <c r="AF239"/>
  <c r="AG239"/>
  <c r="AH239"/>
  <c r="AJ239"/>
  <c r="AK239"/>
  <c r="AO239"/>
  <c r="AP239"/>
  <c r="AW239"/>
  <c r="BC239" s="1"/>
  <c r="AX239"/>
  <c r="BD239"/>
  <c r="BI239"/>
  <c r="AE239" s="1"/>
  <c r="BJ239"/>
  <c r="F240"/>
  <c r="H240" s="1"/>
  <c r="G240"/>
  <c r="AP240" s="1"/>
  <c r="I240" s="1"/>
  <c r="Z240"/>
  <c r="AB240"/>
  <c r="AC240"/>
  <c r="AF240"/>
  <c r="AG240"/>
  <c r="AH240"/>
  <c r="AJ240"/>
  <c r="AK240"/>
  <c r="AO240"/>
  <c r="BH240"/>
  <c r="AD240" s="1"/>
  <c r="BJ240"/>
  <c r="F242"/>
  <c r="BH242" s="1"/>
  <c r="AD242" s="1"/>
  <c r="G242"/>
  <c r="H242"/>
  <c r="I242"/>
  <c r="J242"/>
  <c r="AL242" s="1"/>
  <c r="L242"/>
  <c r="BF242" s="1"/>
  <c r="Z242"/>
  <c r="AB242"/>
  <c r="AC242"/>
  <c r="AF242"/>
  <c r="AG242"/>
  <c r="AH242"/>
  <c r="AJ242"/>
  <c r="AK242"/>
  <c r="AO242"/>
  <c r="AP242"/>
  <c r="AW242"/>
  <c r="BC242" s="1"/>
  <c r="AX242"/>
  <c r="BD242"/>
  <c r="BI242"/>
  <c r="AE242" s="1"/>
  <c r="BJ242"/>
  <c r="F243"/>
  <c r="H243" s="1"/>
  <c r="G243"/>
  <c r="AP243" s="1"/>
  <c r="I243" s="1"/>
  <c r="Z243"/>
  <c r="AB243"/>
  <c r="AC243"/>
  <c r="AF243"/>
  <c r="AG243"/>
  <c r="AH243"/>
  <c r="AJ243"/>
  <c r="AS229" s="1"/>
  <c r="AK243"/>
  <c r="AO243"/>
  <c r="BH243"/>
  <c r="AD243" s="1"/>
  <c r="BJ243"/>
  <c r="F245"/>
  <c r="BH245" s="1"/>
  <c r="AD245" s="1"/>
  <c r="G245"/>
  <c r="H245"/>
  <c r="I245"/>
  <c r="J245"/>
  <c r="AL245" s="1"/>
  <c r="L245"/>
  <c r="BF245" s="1"/>
  <c r="Z245"/>
  <c r="AB245"/>
  <c r="AC245"/>
  <c r="AF245"/>
  <c r="AG245"/>
  <c r="AH245"/>
  <c r="AJ245"/>
  <c r="AK245"/>
  <c r="AO245"/>
  <c r="AP245"/>
  <c r="AW245"/>
  <c r="BC245" s="1"/>
  <c r="AX245"/>
  <c r="BD245"/>
  <c r="BI245"/>
  <c r="AE245" s="1"/>
  <c r="BJ245"/>
  <c r="F246"/>
  <c r="H246" s="1"/>
  <c r="G246"/>
  <c r="AP246" s="1"/>
  <c r="I246" s="1"/>
  <c r="Z246"/>
  <c r="AB246"/>
  <c r="AC246"/>
  <c r="AF246"/>
  <c r="AG246"/>
  <c r="AH246"/>
  <c r="AJ246"/>
  <c r="AK246"/>
  <c r="AO246"/>
  <c r="BH246"/>
  <c r="AD246" s="1"/>
  <c r="BJ246"/>
  <c r="F248"/>
  <c r="BH248" s="1"/>
  <c r="AD248" s="1"/>
  <c r="G248"/>
  <c r="H248"/>
  <c r="I248"/>
  <c r="J248"/>
  <c r="AL248" s="1"/>
  <c r="L248"/>
  <c r="BF248" s="1"/>
  <c r="Z248"/>
  <c r="AB248"/>
  <c r="AC248"/>
  <c r="AF248"/>
  <c r="AG248"/>
  <c r="AH248"/>
  <c r="AJ248"/>
  <c r="AK248"/>
  <c r="AO248"/>
  <c r="AP248"/>
  <c r="AW248"/>
  <c r="BC248" s="1"/>
  <c r="AX248"/>
  <c r="BD248"/>
  <c r="BI248"/>
  <c r="AE248" s="1"/>
  <c r="BJ248"/>
  <c r="F249"/>
  <c r="H249" s="1"/>
  <c r="G249"/>
  <c r="AP249" s="1"/>
  <c r="I249" s="1"/>
  <c r="Z249"/>
  <c r="AB249"/>
  <c r="AC249"/>
  <c r="AF249"/>
  <c r="AG249"/>
  <c r="AH249"/>
  <c r="AJ249"/>
  <c r="AK249"/>
  <c r="AO249"/>
  <c r="BH249"/>
  <c r="AD249" s="1"/>
  <c r="BJ249"/>
  <c r="F250"/>
  <c r="BH250" s="1"/>
  <c r="AD250" s="1"/>
  <c r="G250"/>
  <c r="H250"/>
  <c r="I250"/>
  <c r="J250"/>
  <c r="AL250" s="1"/>
  <c r="L250"/>
  <c r="BF250" s="1"/>
  <c r="Z250"/>
  <c r="AB250"/>
  <c r="AC250"/>
  <c r="AF250"/>
  <c r="AG250"/>
  <c r="AH250"/>
  <c r="AJ250"/>
  <c r="AK250"/>
  <c r="AO250"/>
  <c r="AP250"/>
  <c r="AW250"/>
  <c r="BC250" s="1"/>
  <c r="AX250"/>
  <c r="BD250"/>
  <c r="BI250"/>
  <c r="AE250" s="1"/>
  <c r="BJ250"/>
  <c r="F252"/>
  <c r="H252" s="1"/>
  <c r="G252"/>
  <c r="AP252" s="1"/>
  <c r="I252" s="1"/>
  <c r="AB252"/>
  <c r="AC252"/>
  <c r="AD252"/>
  <c r="AE252"/>
  <c r="AF252"/>
  <c r="AG252"/>
  <c r="AH252"/>
  <c r="AJ252"/>
  <c r="AK252"/>
  <c r="AO252"/>
  <c r="BH252"/>
  <c r="BJ252"/>
  <c r="Z252" s="1"/>
  <c r="AT253"/>
  <c r="F254"/>
  <c r="L254" s="1"/>
  <c r="G254"/>
  <c r="BD254" s="1"/>
  <c r="Z254"/>
  <c r="AB254"/>
  <c r="AC254"/>
  <c r="AF254"/>
  <c r="AG254"/>
  <c r="AH254"/>
  <c r="AJ254"/>
  <c r="AS253" s="1"/>
  <c r="AK254"/>
  <c r="AO254"/>
  <c r="F256"/>
  <c r="I256" s="1"/>
  <c r="G256"/>
  <c r="BD256" s="1"/>
  <c r="H256"/>
  <c r="J256"/>
  <c r="AL256" s="1"/>
  <c r="Z256"/>
  <c r="AB256"/>
  <c r="AC256"/>
  <c r="AF256"/>
  <c r="AG256"/>
  <c r="AH256"/>
  <c r="AJ256"/>
  <c r="AK256"/>
  <c r="AO256"/>
  <c r="AP256"/>
  <c r="AW256"/>
  <c r="BH256"/>
  <c r="AD256" s="1"/>
  <c r="BI256"/>
  <c r="AE256" s="1"/>
  <c r="F259"/>
  <c r="G259"/>
  <c r="BD259" s="1"/>
  <c r="L259"/>
  <c r="BF259" s="1"/>
  <c r="Z259"/>
  <c r="AD259"/>
  <c r="AE259"/>
  <c r="AF259"/>
  <c r="AG259"/>
  <c r="AH259"/>
  <c r="AJ259"/>
  <c r="AS258" s="1"/>
  <c r="AK259"/>
  <c r="AT258" s="1"/>
  <c r="AO259"/>
  <c r="BH259" s="1"/>
  <c r="AB259" s="1"/>
  <c r="F260"/>
  <c r="J260" s="1"/>
  <c r="AL260" s="1"/>
  <c r="G260"/>
  <c r="BD260" s="1"/>
  <c r="H260"/>
  <c r="I260"/>
  <c r="L260"/>
  <c r="BF260" s="1"/>
  <c r="Z260"/>
  <c r="AD260"/>
  <c r="AE260"/>
  <c r="AF260"/>
  <c r="AG260"/>
  <c r="AH260"/>
  <c r="AJ260"/>
  <c r="AK260"/>
  <c r="AO260"/>
  <c r="AP260"/>
  <c r="AX260"/>
  <c r="BH260"/>
  <c r="AB260" s="1"/>
  <c r="BI260"/>
  <c r="AC260" s="1"/>
  <c r="BJ260"/>
  <c r="F261"/>
  <c r="G261"/>
  <c r="BD261" s="1"/>
  <c r="L261"/>
  <c r="BF261" s="1"/>
  <c r="Z261"/>
  <c r="AD261"/>
  <c r="AE261"/>
  <c r="AF261"/>
  <c r="AG261"/>
  <c r="AH261"/>
  <c r="AJ261"/>
  <c r="AK261"/>
  <c r="AO261"/>
  <c r="BH261" s="1"/>
  <c r="AB261" s="1"/>
  <c r="AT263"/>
  <c r="F264"/>
  <c r="G264"/>
  <c r="H264"/>
  <c r="H263" s="1"/>
  <c r="I35" i="2" s="1"/>
  <c r="I264" i="6"/>
  <c r="J264"/>
  <c r="L264"/>
  <c r="Z264"/>
  <c r="AD264"/>
  <c r="AE264"/>
  <c r="AF264"/>
  <c r="AG264"/>
  <c r="AH264"/>
  <c r="AJ264"/>
  <c r="AS263" s="1"/>
  <c r="AK264"/>
  <c r="AO264"/>
  <c r="AP264"/>
  <c r="AX264" s="1"/>
  <c r="BC264" s="1"/>
  <c r="AW264"/>
  <c r="BD264"/>
  <c r="BF264"/>
  <c r="BH264"/>
  <c r="AB264" s="1"/>
  <c r="BI264"/>
  <c r="AC264" s="1"/>
  <c r="BJ264"/>
  <c r="F266"/>
  <c r="BH266" s="1"/>
  <c r="AB266" s="1"/>
  <c r="G266"/>
  <c r="H266"/>
  <c r="Z266"/>
  <c r="AD266"/>
  <c r="AE266"/>
  <c r="AF266"/>
  <c r="AG266"/>
  <c r="AH266"/>
  <c r="AJ266"/>
  <c r="AK266"/>
  <c r="AO266"/>
  <c r="AP266"/>
  <c r="BI266" s="1"/>
  <c r="AC266" s="1"/>
  <c r="BD266"/>
  <c r="F268"/>
  <c r="G268"/>
  <c r="H268"/>
  <c r="I268"/>
  <c r="J268"/>
  <c r="AL268" s="1"/>
  <c r="L268"/>
  <c r="Z268"/>
  <c r="AD268"/>
  <c r="AE268"/>
  <c r="AF268"/>
  <c r="AG268"/>
  <c r="AH268"/>
  <c r="AJ268"/>
  <c r="AK268"/>
  <c r="AO268"/>
  <c r="AP268"/>
  <c r="AX268" s="1"/>
  <c r="BC268" s="1"/>
  <c r="AW268"/>
  <c r="BD268"/>
  <c r="BF268"/>
  <c r="BH268"/>
  <c r="AB268" s="1"/>
  <c r="BI268"/>
  <c r="AC268" s="1"/>
  <c r="BJ268"/>
  <c r="F271"/>
  <c r="H271" s="1"/>
  <c r="H270" s="1"/>
  <c r="I36" i="2" s="1"/>
  <c r="G271" i="6"/>
  <c r="AP271" s="1"/>
  <c r="I271" s="1"/>
  <c r="I270" s="1"/>
  <c r="J36" i="2" s="1"/>
  <c r="Z271" i="6"/>
  <c r="AD271"/>
  <c r="AE271"/>
  <c r="AF271"/>
  <c r="AG271"/>
  <c r="AH271"/>
  <c r="AJ271"/>
  <c r="AS270" s="1"/>
  <c r="AK271"/>
  <c r="AT270" s="1"/>
  <c r="AO271"/>
  <c r="BH271"/>
  <c r="AB271" s="1"/>
  <c r="BJ271"/>
  <c r="AT274"/>
  <c r="F275"/>
  <c r="L275" s="1"/>
  <c r="G275"/>
  <c r="BD275" s="1"/>
  <c r="AB275"/>
  <c r="AC275"/>
  <c r="AD275"/>
  <c r="AE275"/>
  <c r="AF275"/>
  <c r="AG275"/>
  <c r="AH275"/>
  <c r="AJ275"/>
  <c r="AS274" s="1"/>
  <c r="AK275"/>
  <c r="AO275"/>
  <c r="AS276"/>
  <c r="F277"/>
  <c r="J277" s="1"/>
  <c r="G277"/>
  <c r="BD277" s="1"/>
  <c r="H277"/>
  <c r="I277"/>
  <c r="L277"/>
  <c r="L276" s="1"/>
  <c r="L38" i="2" s="1"/>
  <c r="AB277" i="6"/>
  <c r="AC277"/>
  <c r="AD277"/>
  <c r="AE277"/>
  <c r="AF277"/>
  <c r="AG277"/>
  <c r="AH277"/>
  <c r="AJ277"/>
  <c r="AK277"/>
  <c r="AO277"/>
  <c r="AP277"/>
  <c r="AX277"/>
  <c r="BH277"/>
  <c r="BI277"/>
  <c r="BJ277"/>
  <c r="Z277" s="1"/>
  <c r="F278"/>
  <c r="G278"/>
  <c r="BD278" s="1"/>
  <c r="L278"/>
  <c r="BF278" s="1"/>
  <c r="AB278"/>
  <c r="AC278"/>
  <c r="AD278"/>
  <c r="AE278"/>
  <c r="AF278"/>
  <c r="AG278"/>
  <c r="AH278"/>
  <c r="AJ278"/>
  <c r="AK278"/>
  <c r="AT276" s="1"/>
  <c r="AO278"/>
  <c r="BH278" s="1"/>
  <c r="F279"/>
  <c r="J279" s="1"/>
  <c r="AL279" s="1"/>
  <c r="G279"/>
  <c r="BD279" s="1"/>
  <c r="H279"/>
  <c r="I279"/>
  <c r="L279"/>
  <c r="BF279" s="1"/>
  <c r="AB279"/>
  <c r="AC279"/>
  <c r="AD279"/>
  <c r="AE279"/>
  <c r="AF279"/>
  <c r="AG279"/>
  <c r="AH279"/>
  <c r="AJ279"/>
  <c r="AK279"/>
  <c r="AO279"/>
  <c r="AP279"/>
  <c r="AX279"/>
  <c r="BH279"/>
  <c r="BI279"/>
  <c r="BJ279"/>
  <c r="Z279" s="1"/>
  <c r="F281"/>
  <c r="G281"/>
  <c r="BD281" s="1"/>
  <c r="L281"/>
  <c r="BF281" s="1"/>
  <c r="AB281"/>
  <c r="AC281"/>
  <c r="AD281"/>
  <c r="AE281"/>
  <c r="AF281"/>
  <c r="AG281"/>
  <c r="AH281"/>
  <c r="AJ281"/>
  <c r="AK281"/>
  <c r="AO281"/>
  <c r="AW281" s="1"/>
  <c r="BH281"/>
  <c r="F284"/>
  <c r="BH284" s="1"/>
  <c r="AB284" s="1"/>
  <c r="G284"/>
  <c r="H284"/>
  <c r="H283" s="1"/>
  <c r="Z284"/>
  <c r="AD284"/>
  <c r="AE284"/>
  <c r="AF284"/>
  <c r="AG284"/>
  <c r="AH284"/>
  <c r="AJ284"/>
  <c r="AS283" s="1"/>
  <c r="AK284"/>
  <c r="AT283" s="1"/>
  <c r="AO284"/>
  <c r="AP284"/>
  <c r="BI284" s="1"/>
  <c r="AC284" s="1"/>
  <c r="BD284"/>
  <c r="F286"/>
  <c r="G286"/>
  <c r="H286"/>
  <c r="I286"/>
  <c r="J286"/>
  <c r="AL286" s="1"/>
  <c r="L286"/>
  <c r="Z286"/>
  <c r="AD286"/>
  <c r="AE286"/>
  <c r="AF286"/>
  <c r="AG286"/>
  <c r="AH286"/>
  <c r="AJ286"/>
  <c r="AK286"/>
  <c r="AO286"/>
  <c r="AP286"/>
  <c r="AX286" s="1"/>
  <c r="BC286" s="1"/>
  <c r="AW286"/>
  <c r="BD286"/>
  <c r="BF286"/>
  <c r="BH286"/>
  <c r="AB286" s="1"/>
  <c r="BI286"/>
  <c r="AC286" s="1"/>
  <c r="BJ286"/>
  <c r="F287"/>
  <c r="BH287" s="1"/>
  <c r="AB287" s="1"/>
  <c r="G287"/>
  <c r="H287"/>
  <c r="Z287"/>
  <c r="AD287"/>
  <c r="AE287"/>
  <c r="AF287"/>
  <c r="AG287"/>
  <c r="AH287"/>
  <c r="AJ287"/>
  <c r="AK287"/>
  <c r="AO287"/>
  <c r="AP287"/>
  <c r="BI287" s="1"/>
  <c r="AC287" s="1"/>
  <c r="BD287"/>
  <c r="F288"/>
  <c r="G288"/>
  <c r="H288"/>
  <c r="I288"/>
  <c r="J288"/>
  <c r="AL288" s="1"/>
  <c r="L288"/>
  <c r="Z288"/>
  <c r="AD288"/>
  <c r="AE288"/>
  <c r="AF288"/>
  <c r="AG288"/>
  <c r="AH288"/>
  <c r="AJ288"/>
  <c r="AK288"/>
  <c r="AO288"/>
  <c r="AP288"/>
  <c r="AX288" s="1"/>
  <c r="BC288" s="1"/>
  <c r="AW288"/>
  <c r="AV288" s="1"/>
  <c r="BD288"/>
  <c r="BF288"/>
  <c r="BH288"/>
  <c r="AB288" s="1"/>
  <c r="BI288"/>
  <c r="AC288" s="1"/>
  <c r="BJ288"/>
  <c r="F290"/>
  <c r="BH290" s="1"/>
  <c r="AB290" s="1"/>
  <c r="G290"/>
  <c r="H290"/>
  <c r="Z290"/>
  <c r="AD290"/>
  <c r="AE290"/>
  <c r="AF290"/>
  <c r="AG290"/>
  <c r="AH290"/>
  <c r="AJ290"/>
  <c r="AK290"/>
  <c r="AO290"/>
  <c r="AP290"/>
  <c r="BD290"/>
  <c r="BI290"/>
  <c r="AC290" s="1"/>
  <c r="F292"/>
  <c r="G292"/>
  <c r="H292"/>
  <c r="I292"/>
  <c r="J292"/>
  <c r="AL292" s="1"/>
  <c r="L292"/>
  <c r="Z292"/>
  <c r="AD292"/>
  <c r="AE292"/>
  <c r="AF292"/>
  <c r="AG292"/>
  <c r="AH292"/>
  <c r="AJ292"/>
  <c r="AK292"/>
  <c r="AO292"/>
  <c r="AP292"/>
  <c r="AX292" s="1"/>
  <c r="BC292" s="1"/>
  <c r="AW292"/>
  <c r="BD292"/>
  <c r="BF292"/>
  <c r="BH292"/>
  <c r="AB292" s="1"/>
  <c r="BI292"/>
  <c r="AC292" s="1"/>
  <c r="BJ292"/>
  <c r="F294"/>
  <c r="BH294" s="1"/>
  <c r="AB294" s="1"/>
  <c r="G294"/>
  <c r="H294"/>
  <c r="Z294"/>
  <c r="AD294"/>
  <c r="AE294"/>
  <c r="AF294"/>
  <c r="AG294"/>
  <c r="AH294"/>
  <c r="AJ294"/>
  <c r="AK294"/>
  <c r="AO294"/>
  <c r="AP294"/>
  <c r="BI294" s="1"/>
  <c r="AC294" s="1"/>
  <c r="BD294"/>
  <c r="F295"/>
  <c r="L295" s="1"/>
  <c r="BF295" s="1"/>
  <c r="G295"/>
  <c r="H295"/>
  <c r="I295"/>
  <c r="J295"/>
  <c r="AL295" s="1"/>
  <c r="Z295"/>
  <c r="AB295"/>
  <c r="AD295"/>
  <c r="AE295"/>
  <c r="AF295"/>
  <c r="AG295"/>
  <c r="AH295"/>
  <c r="AJ295"/>
  <c r="AK295"/>
  <c r="AO295"/>
  <c r="AP295"/>
  <c r="AX295" s="1"/>
  <c r="BC295" s="1"/>
  <c r="AW295"/>
  <c r="BD295"/>
  <c r="BH295"/>
  <c r="BI295"/>
  <c r="AC295" s="1"/>
  <c r="BJ295"/>
  <c r="F296"/>
  <c r="BH296" s="1"/>
  <c r="AB296" s="1"/>
  <c r="G296"/>
  <c r="H296"/>
  <c r="Z296"/>
  <c r="AD296"/>
  <c r="AE296"/>
  <c r="AF296"/>
  <c r="AG296"/>
  <c r="AH296"/>
  <c r="AJ296"/>
  <c r="AK296"/>
  <c r="AO296"/>
  <c r="AP296"/>
  <c r="BD296"/>
  <c r="BI296"/>
  <c r="AC296" s="1"/>
  <c r="AS297"/>
  <c r="F298"/>
  <c r="H298" s="1"/>
  <c r="G298"/>
  <c r="I298"/>
  <c r="I297" s="1"/>
  <c r="J41" i="2" s="1"/>
  <c r="J298" i="6"/>
  <c r="L298"/>
  <c r="Z298"/>
  <c r="AC298"/>
  <c r="AD298"/>
  <c r="AE298"/>
  <c r="AF298"/>
  <c r="AG298"/>
  <c r="AH298"/>
  <c r="AJ298"/>
  <c r="AK298"/>
  <c r="AT297" s="1"/>
  <c r="AO298"/>
  <c r="AP298"/>
  <c r="AW298"/>
  <c r="BC298" s="1"/>
  <c r="AX298"/>
  <c r="BD298"/>
  <c r="BI298"/>
  <c r="BJ298"/>
  <c r="F299"/>
  <c r="H299" s="1"/>
  <c r="G299"/>
  <c r="AP299" s="1"/>
  <c r="I299" s="1"/>
  <c r="Z299"/>
  <c r="AD299"/>
  <c r="AE299"/>
  <c r="AF299"/>
  <c r="AG299"/>
  <c r="AH299"/>
  <c r="AJ299"/>
  <c r="AK299"/>
  <c r="AO299"/>
  <c r="BH299"/>
  <c r="AB299" s="1"/>
  <c r="BJ299"/>
  <c r="F300"/>
  <c r="H300" s="1"/>
  <c r="G300"/>
  <c r="I300"/>
  <c r="J300"/>
  <c r="AL300" s="1"/>
  <c r="L300"/>
  <c r="BF300" s="1"/>
  <c r="Z300"/>
  <c r="AC300"/>
  <c r="AD300"/>
  <c r="AE300"/>
  <c r="AF300"/>
  <c r="AG300"/>
  <c r="AH300"/>
  <c r="AJ300"/>
  <c r="AK300"/>
  <c r="AO300"/>
  <c r="AP300"/>
  <c r="AW300"/>
  <c r="BC300" s="1"/>
  <c r="AX300"/>
  <c r="BD300"/>
  <c r="BI300"/>
  <c r="BJ300"/>
  <c r="F303"/>
  <c r="I303" s="1"/>
  <c r="G303"/>
  <c r="BD303" s="1"/>
  <c r="H303"/>
  <c r="J303"/>
  <c r="Z303"/>
  <c r="AD303"/>
  <c r="AE303"/>
  <c r="AF303"/>
  <c r="AG303"/>
  <c r="AH303"/>
  <c r="AJ303"/>
  <c r="AK303"/>
  <c r="AT302" s="1"/>
  <c r="AO303"/>
  <c r="AP303"/>
  <c r="AW303"/>
  <c r="BH303"/>
  <c r="AB303" s="1"/>
  <c r="BI303"/>
  <c r="AC303" s="1"/>
  <c r="F308"/>
  <c r="L308" s="1"/>
  <c r="BF308" s="1"/>
  <c r="G308"/>
  <c r="BD308" s="1"/>
  <c r="Z308"/>
  <c r="AD308"/>
  <c r="AE308"/>
  <c r="AF308"/>
  <c r="AG308"/>
  <c r="AH308"/>
  <c r="AJ308"/>
  <c r="AS302" s="1"/>
  <c r="AK308"/>
  <c r="AO308"/>
  <c r="F309"/>
  <c r="I309" s="1"/>
  <c r="G309"/>
  <c r="BD309" s="1"/>
  <c r="H309"/>
  <c r="J309"/>
  <c r="AL309" s="1"/>
  <c r="Z309"/>
  <c r="AD309"/>
  <c r="AE309"/>
  <c r="AF309"/>
  <c r="AG309"/>
  <c r="AH309"/>
  <c r="AJ309"/>
  <c r="AK309"/>
  <c r="AO309"/>
  <c r="AP309"/>
  <c r="AW309"/>
  <c r="BH309"/>
  <c r="AB309" s="1"/>
  <c r="BI309"/>
  <c r="AC309" s="1"/>
  <c r="F312"/>
  <c r="G312"/>
  <c r="BD312" s="1"/>
  <c r="L312"/>
  <c r="BF312" s="1"/>
  <c r="Z312"/>
  <c r="AD312"/>
  <c r="AE312"/>
  <c r="AF312"/>
  <c r="AG312"/>
  <c r="AH312"/>
  <c r="AJ312"/>
  <c r="AS311" s="1"/>
  <c r="AK312"/>
  <c r="AT311" s="1"/>
  <c r="AO312"/>
  <c r="AW312" s="1"/>
  <c r="AT315"/>
  <c r="F316"/>
  <c r="G316"/>
  <c r="H316"/>
  <c r="H315" s="1"/>
  <c r="I44" i="2" s="1"/>
  <c r="I316" i="6"/>
  <c r="J316"/>
  <c r="L316"/>
  <c r="Z316"/>
  <c r="AD316"/>
  <c r="AE316"/>
  <c r="AF316"/>
  <c r="AG316"/>
  <c r="AH316"/>
  <c r="AJ316"/>
  <c r="AS315" s="1"/>
  <c r="AK316"/>
  <c r="AO316"/>
  <c r="AP316"/>
  <c r="AX316" s="1"/>
  <c r="BC316" s="1"/>
  <c r="AW316"/>
  <c r="AV316" s="1"/>
  <c r="BD316"/>
  <c r="BF316"/>
  <c r="BH316"/>
  <c r="AB316" s="1"/>
  <c r="BI316"/>
  <c r="AC316" s="1"/>
  <c r="BJ316"/>
  <c r="F317"/>
  <c r="BH317" s="1"/>
  <c r="AB317" s="1"/>
  <c r="G317"/>
  <c r="H317"/>
  <c r="Z317"/>
  <c r="AD317"/>
  <c r="AE317"/>
  <c r="AF317"/>
  <c r="AG317"/>
  <c r="AH317"/>
  <c r="AJ317"/>
  <c r="AK317"/>
  <c r="AO317"/>
  <c r="AP317"/>
  <c r="BD317"/>
  <c r="BI317"/>
  <c r="AC317" s="1"/>
  <c r="AS318"/>
  <c r="F319"/>
  <c r="H319" s="1"/>
  <c r="G319"/>
  <c r="I319"/>
  <c r="J319"/>
  <c r="L319"/>
  <c r="Z319"/>
  <c r="AC319"/>
  <c r="AD319"/>
  <c r="AE319"/>
  <c r="AF319"/>
  <c r="AG319"/>
  <c r="AH319"/>
  <c r="AJ319"/>
  <c r="AK319"/>
  <c r="AT318" s="1"/>
  <c r="AO319"/>
  <c r="AP319"/>
  <c r="AW319"/>
  <c r="BC319" s="1"/>
  <c r="AX319"/>
  <c r="BD319"/>
  <c r="BI319"/>
  <c r="BJ319"/>
  <c r="F321"/>
  <c r="H321" s="1"/>
  <c r="G321"/>
  <c r="AP321" s="1"/>
  <c r="I321" s="1"/>
  <c r="Z321"/>
  <c r="AD321"/>
  <c r="AE321"/>
  <c r="AF321"/>
  <c r="AG321"/>
  <c r="AH321"/>
  <c r="AJ321"/>
  <c r="AK321"/>
  <c r="AO321"/>
  <c r="BH321"/>
  <c r="AB321" s="1"/>
  <c r="BJ321"/>
  <c r="AT322"/>
  <c r="F323"/>
  <c r="L323" s="1"/>
  <c r="G323"/>
  <c r="BD323" s="1"/>
  <c r="Z323"/>
  <c r="AD323"/>
  <c r="AE323"/>
  <c r="AF323"/>
  <c r="AG323"/>
  <c r="AH323"/>
  <c r="AJ323"/>
  <c r="AS322" s="1"/>
  <c r="AK323"/>
  <c r="AO323"/>
  <c r="F325"/>
  <c r="I325" s="1"/>
  <c r="G325"/>
  <c r="BD325" s="1"/>
  <c r="H325"/>
  <c r="J325"/>
  <c r="AL325" s="1"/>
  <c r="Z325"/>
  <c r="AD325"/>
  <c r="AE325"/>
  <c r="AF325"/>
  <c r="AG325"/>
  <c r="AH325"/>
  <c r="AJ325"/>
  <c r="AK325"/>
  <c r="AO325"/>
  <c r="AP325"/>
  <c r="AW325"/>
  <c r="BH325"/>
  <c r="AB325" s="1"/>
  <c r="BI325"/>
  <c r="AC325" s="1"/>
  <c r="F327"/>
  <c r="L327" s="1"/>
  <c r="BF327" s="1"/>
  <c r="G327"/>
  <c r="BD327" s="1"/>
  <c r="Z327"/>
  <c r="AD327"/>
  <c r="AE327"/>
  <c r="AF327"/>
  <c r="AG327"/>
  <c r="AH327"/>
  <c r="AJ327"/>
  <c r="AK327"/>
  <c r="AO327"/>
  <c r="F329"/>
  <c r="I329" s="1"/>
  <c r="G329"/>
  <c r="BD329" s="1"/>
  <c r="H329"/>
  <c r="J329"/>
  <c r="AL329" s="1"/>
  <c r="Z329"/>
  <c r="AD329"/>
  <c r="AE329"/>
  <c r="AF329"/>
  <c r="AG329"/>
  <c r="AH329"/>
  <c r="AJ329"/>
  <c r="AK329"/>
  <c r="AO329"/>
  <c r="AP329"/>
  <c r="AW329"/>
  <c r="BH329"/>
  <c r="AB329" s="1"/>
  <c r="BI329"/>
  <c r="AC329" s="1"/>
  <c r="F330"/>
  <c r="L330" s="1"/>
  <c r="BF330" s="1"/>
  <c r="G330"/>
  <c r="BD330" s="1"/>
  <c r="Z330"/>
  <c r="AD330"/>
  <c r="AE330"/>
  <c r="AF330"/>
  <c r="AG330"/>
  <c r="AH330"/>
  <c r="AJ330"/>
  <c r="AK330"/>
  <c r="AO330"/>
  <c r="F331"/>
  <c r="I331" s="1"/>
  <c r="G331"/>
  <c r="BD331" s="1"/>
  <c r="H331"/>
  <c r="J331"/>
  <c r="AL331" s="1"/>
  <c r="Z331"/>
  <c r="AD331"/>
  <c r="AE331"/>
  <c r="AF331"/>
  <c r="AG331"/>
  <c r="AH331"/>
  <c r="AJ331"/>
  <c r="AK331"/>
  <c r="AO331"/>
  <c r="AP331"/>
  <c r="AW331"/>
  <c r="BH331"/>
  <c r="AB331" s="1"/>
  <c r="BI331"/>
  <c r="AC331" s="1"/>
  <c r="F333"/>
  <c r="L333" s="1"/>
  <c r="BF333" s="1"/>
  <c r="G333"/>
  <c r="BD333" s="1"/>
  <c r="Z333"/>
  <c r="AD333"/>
  <c r="AE333"/>
  <c r="AF333"/>
  <c r="AG333"/>
  <c r="AH333"/>
  <c r="AJ333"/>
  <c r="AK333"/>
  <c r="AO333"/>
  <c r="AS334"/>
  <c r="F335"/>
  <c r="J335" s="1"/>
  <c r="G335"/>
  <c r="BD335" s="1"/>
  <c r="H335"/>
  <c r="I335"/>
  <c r="L335"/>
  <c r="L334" s="1"/>
  <c r="L47" i="2" s="1"/>
  <c r="Z335" i="6"/>
  <c r="AD335"/>
  <c r="AE335"/>
  <c r="AF335"/>
  <c r="AG335"/>
  <c r="AH335"/>
  <c r="AJ335"/>
  <c r="AK335"/>
  <c r="AO335"/>
  <c r="AP335"/>
  <c r="AX335"/>
  <c r="BH335"/>
  <c r="AB335" s="1"/>
  <c r="BI335"/>
  <c r="AC335" s="1"/>
  <c r="BJ335"/>
  <c r="F337"/>
  <c r="G337"/>
  <c r="BD337" s="1"/>
  <c r="L337"/>
  <c r="BF337" s="1"/>
  <c r="Z337"/>
  <c r="AD337"/>
  <c r="AE337"/>
  <c r="AF337"/>
  <c r="AG337"/>
  <c r="AH337"/>
  <c r="AJ337"/>
  <c r="AK337"/>
  <c r="AT334" s="1"/>
  <c r="AO337"/>
  <c r="BH337" s="1"/>
  <c r="AB337" s="1"/>
  <c r="AT339"/>
  <c r="F340"/>
  <c r="G340"/>
  <c r="H340"/>
  <c r="H339" s="1"/>
  <c r="I48" i="2" s="1"/>
  <c r="I340" i="6"/>
  <c r="J340"/>
  <c r="L340"/>
  <c r="Z340"/>
  <c r="AD340"/>
  <c r="AE340"/>
  <c r="AF340"/>
  <c r="AG340"/>
  <c r="AH340"/>
  <c r="AJ340"/>
  <c r="AS339" s="1"/>
  <c r="AK340"/>
  <c r="AO340"/>
  <c r="AP340"/>
  <c r="AX340" s="1"/>
  <c r="BC340" s="1"/>
  <c r="AW340"/>
  <c r="AV340" s="1"/>
  <c r="BD340"/>
  <c r="BF340"/>
  <c r="BH340"/>
  <c r="AB340" s="1"/>
  <c r="BI340"/>
  <c r="AC340" s="1"/>
  <c r="BJ340"/>
  <c r="F342"/>
  <c r="BH342" s="1"/>
  <c r="AB342" s="1"/>
  <c r="G342"/>
  <c r="H342"/>
  <c r="Z342"/>
  <c r="AD342"/>
  <c r="AE342"/>
  <c r="AF342"/>
  <c r="AG342"/>
  <c r="AH342"/>
  <c r="AJ342"/>
  <c r="AK342"/>
  <c r="AO342"/>
  <c r="AP342"/>
  <c r="BD342"/>
  <c r="BI342"/>
  <c r="AC342" s="1"/>
  <c r="F343"/>
  <c r="G343"/>
  <c r="H343"/>
  <c r="I343"/>
  <c r="J343"/>
  <c r="AL343" s="1"/>
  <c r="L343"/>
  <c r="Z343"/>
  <c r="AD343"/>
  <c r="AE343"/>
  <c r="AF343"/>
  <c r="AG343"/>
  <c r="AH343"/>
  <c r="AJ343"/>
  <c r="AK343"/>
  <c r="AO343"/>
  <c r="AP343"/>
  <c r="AX343" s="1"/>
  <c r="BC343" s="1"/>
  <c r="AW343"/>
  <c r="BD343"/>
  <c r="BF343"/>
  <c r="BH343"/>
  <c r="AB343" s="1"/>
  <c r="BI343"/>
  <c r="AC343" s="1"/>
  <c r="BJ343"/>
  <c r="F345"/>
  <c r="BH345" s="1"/>
  <c r="AB345" s="1"/>
  <c r="G345"/>
  <c r="H345"/>
  <c r="Z345"/>
  <c r="AD345"/>
  <c r="AE345"/>
  <c r="AF345"/>
  <c r="AG345"/>
  <c r="AH345"/>
  <c r="AJ345"/>
  <c r="AK345"/>
  <c r="AO345"/>
  <c r="AP345"/>
  <c r="BI345" s="1"/>
  <c r="AC345" s="1"/>
  <c r="BD345"/>
  <c r="AS346"/>
  <c r="F347"/>
  <c r="H347" s="1"/>
  <c r="H346" s="1"/>
  <c r="I49" i="2" s="1"/>
  <c r="G347" i="6"/>
  <c r="I347"/>
  <c r="I346" s="1"/>
  <c r="J49" i="2" s="1"/>
  <c r="J347" i="6"/>
  <c r="J346" s="1"/>
  <c r="K49" i="2" s="1"/>
  <c r="N49" s="1"/>
  <c r="L347" i="6"/>
  <c r="L346" s="1"/>
  <c r="L49" i="2" s="1"/>
  <c r="Z347" i="6"/>
  <c r="AD347"/>
  <c r="AE347"/>
  <c r="AF347"/>
  <c r="AG347"/>
  <c r="AH347"/>
  <c r="AJ347"/>
  <c r="AK347"/>
  <c r="AT346" s="1"/>
  <c r="AO347"/>
  <c r="AP347"/>
  <c r="AW347"/>
  <c r="BC347" s="1"/>
  <c r="AX347"/>
  <c r="BD347"/>
  <c r="BI347"/>
  <c r="AC347" s="1"/>
  <c r="BJ347"/>
  <c r="AS349"/>
  <c r="F350"/>
  <c r="I350" s="1"/>
  <c r="I349" s="1"/>
  <c r="J50" i="2" s="1"/>
  <c r="G350" i="6"/>
  <c r="BD350" s="1"/>
  <c r="H350"/>
  <c r="H349" s="1"/>
  <c r="I50" i="2" s="1"/>
  <c r="J350" i="6"/>
  <c r="J349" s="1"/>
  <c r="K50" i="2" s="1"/>
  <c r="N50" s="1"/>
  <c r="AB350" i="6"/>
  <c r="AC350"/>
  <c r="AD350"/>
  <c r="AE350"/>
  <c r="AF350"/>
  <c r="AG350"/>
  <c r="AH350"/>
  <c r="AJ350"/>
  <c r="AK350"/>
  <c r="AT349" s="1"/>
  <c r="AO350"/>
  <c r="AP350"/>
  <c r="AW350"/>
  <c r="BH350"/>
  <c r="BI350"/>
  <c r="F352"/>
  <c r="G352"/>
  <c r="BD352" s="1"/>
  <c r="L352"/>
  <c r="BF352" s="1"/>
  <c r="Z352"/>
  <c r="AB352"/>
  <c r="AC352"/>
  <c r="AD352"/>
  <c r="AE352"/>
  <c r="AH352"/>
  <c r="AJ352"/>
  <c r="AS351" s="1"/>
  <c r="AK352"/>
  <c r="AT351" s="1"/>
  <c r="AO352"/>
  <c r="BH352" s="1"/>
  <c r="AF352" s="1"/>
  <c r="AT354"/>
  <c r="F355"/>
  <c r="G355"/>
  <c r="H355"/>
  <c r="H354" s="1"/>
  <c r="I52" i="2" s="1"/>
  <c r="I355" i="6"/>
  <c r="J355"/>
  <c r="L355"/>
  <c r="Z355"/>
  <c r="AB355"/>
  <c r="AC355"/>
  <c r="AD355"/>
  <c r="AE355"/>
  <c r="AF355"/>
  <c r="AG355"/>
  <c r="AH355"/>
  <c r="AJ355"/>
  <c r="AS354" s="1"/>
  <c r="AK355"/>
  <c r="AO355"/>
  <c r="AP355"/>
  <c r="AX355" s="1"/>
  <c r="BC355" s="1"/>
  <c r="AW355"/>
  <c r="AV355" s="1"/>
  <c r="BD355"/>
  <c r="BF355"/>
  <c r="BH355"/>
  <c r="BI355"/>
  <c r="BJ355"/>
  <c r="F356"/>
  <c r="BH356" s="1"/>
  <c r="G356"/>
  <c r="H356"/>
  <c r="AB356"/>
  <c r="AC356"/>
  <c r="AD356"/>
  <c r="AE356"/>
  <c r="AF356"/>
  <c r="AG356"/>
  <c r="AH356"/>
  <c r="AJ356"/>
  <c r="AK356"/>
  <c r="AO356"/>
  <c r="AP356"/>
  <c r="BI356" s="1"/>
  <c r="BD356"/>
  <c r="F357"/>
  <c r="L357" s="1"/>
  <c r="BF357" s="1"/>
  <c r="G357"/>
  <c r="H357"/>
  <c r="I357"/>
  <c r="J357"/>
  <c r="AL357" s="1"/>
  <c r="Z357"/>
  <c r="AB357"/>
  <c r="AC357"/>
  <c r="AD357"/>
  <c r="AE357"/>
  <c r="AF357"/>
  <c r="AG357"/>
  <c r="AH357"/>
  <c r="AJ357"/>
  <c r="AK357"/>
  <c r="AO357"/>
  <c r="AP357"/>
  <c r="AW357"/>
  <c r="BD357"/>
  <c r="BH357"/>
  <c r="BI357"/>
  <c r="BJ357"/>
  <c r="F359"/>
  <c r="BH359" s="1"/>
  <c r="G359"/>
  <c r="H359"/>
  <c r="AB359"/>
  <c r="AC359"/>
  <c r="AD359"/>
  <c r="AE359"/>
  <c r="AF359"/>
  <c r="AG359"/>
  <c r="AH359"/>
  <c r="AJ359"/>
  <c r="AK359"/>
  <c r="AO359"/>
  <c r="AP359"/>
  <c r="BI359" s="1"/>
  <c r="BD359"/>
  <c r="C2" i="4"/>
  <c r="F2"/>
  <c r="C4"/>
  <c r="F4"/>
  <c r="C6"/>
  <c r="F6"/>
  <c r="C8"/>
  <c r="F8"/>
  <c r="I318" i="6" l="1"/>
  <c r="J45" i="2" s="1"/>
  <c r="I229" i="6"/>
  <c r="J32" i="2" s="1"/>
  <c r="AL335" i="6"/>
  <c r="BF323"/>
  <c r="I40" i="2"/>
  <c r="I281" i="6"/>
  <c r="AV325"/>
  <c r="AV295"/>
  <c r="I261"/>
  <c r="AV225"/>
  <c r="AV268"/>
  <c r="AL277"/>
  <c r="AV286"/>
  <c r="AV343"/>
  <c r="H318"/>
  <c r="I45" i="2" s="1"/>
  <c r="AV292" i="6"/>
  <c r="H229"/>
  <c r="I32" i="2" s="1"/>
  <c r="AV222" i="6"/>
  <c r="L274"/>
  <c r="L37" i="2" s="1"/>
  <c r="BF275" i="6"/>
  <c r="BF254"/>
  <c r="AV350"/>
  <c r="H297"/>
  <c r="I41" i="2" s="1"/>
  <c r="AV264" i="6"/>
  <c r="BC27"/>
  <c r="AV27"/>
  <c r="AV17"/>
  <c r="BC17"/>
  <c r="J210"/>
  <c r="AL210" s="1"/>
  <c r="AW210"/>
  <c r="I210"/>
  <c r="BJ210"/>
  <c r="H210"/>
  <c r="BI210"/>
  <c r="AE210" s="1"/>
  <c r="BI168"/>
  <c r="AC168" s="1"/>
  <c r="AX168"/>
  <c r="I168"/>
  <c r="BF159"/>
  <c r="BI144"/>
  <c r="AC144" s="1"/>
  <c r="AX144"/>
  <c r="I144"/>
  <c r="I143" s="1"/>
  <c r="J22" i="2" s="1"/>
  <c r="BF137" i="6"/>
  <c r="L136"/>
  <c r="L21" i="2" s="1"/>
  <c r="AL68" i="6"/>
  <c r="BF59"/>
  <c r="BJ359"/>
  <c r="Z359" s="1"/>
  <c r="I359"/>
  <c r="BJ356"/>
  <c r="Z356" s="1"/>
  <c r="I356"/>
  <c r="I354" s="1"/>
  <c r="J52" i="2" s="1"/>
  <c r="AP352" i="6"/>
  <c r="H352"/>
  <c r="H351" s="1"/>
  <c r="I51" i="2" s="1"/>
  <c r="AX350" i="6"/>
  <c r="L350"/>
  <c r="BF347"/>
  <c r="AL347"/>
  <c r="AU346" s="1"/>
  <c r="BJ345"/>
  <c r="I345"/>
  <c r="BJ342"/>
  <c r="I342"/>
  <c r="I339" s="1"/>
  <c r="J48" i="2" s="1"/>
  <c r="AP337" i="6"/>
  <c r="H337"/>
  <c r="H334" s="1"/>
  <c r="I47" i="2" s="1"/>
  <c r="BH333" i="6"/>
  <c r="AB333" s="1"/>
  <c r="AX331"/>
  <c r="AV331" s="1"/>
  <c r="L331"/>
  <c r="BF331" s="1"/>
  <c r="BH330"/>
  <c r="AB330" s="1"/>
  <c r="AX329"/>
  <c r="BC329" s="1"/>
  <c r="L329"/>
  <c r="BF329" s="1"/>
  <c r="BH327"/>
  <c r="AB327" s="1"/>
  <c r="AX325"/>
  <c r="L325"/>
  <c r="BF325" s="1"/>
  <c r="BH323"/>
  <c r="AB323" s="1"/>
  <c r="AW321"/>
  <c r="J321"/>
  <c r="AL321" s="1"/>
  <c r="BF319"/>
  <c r="AL319"/>
  <c r="BJ317"/>
  <c r="I317"/>
  <c r="I315" s="1"/>
  <c r="J44" i="2" s="1"/>
  <c r="AP312" i="6"/>
  <c r="H312"/>
  <c r="H311" s="1"/>
  <c r="I43" i="2" s="1"/>
  <c r="AX309" i="6"/>
  <c r="AV309" s="1"/>
  <c r="L309"/>
  <c r="BF309" s="1"/>
  <c r="BH308"/>
  <c r="AB308" s="1"/>
  <c r="AX303"/>
  <c r="AV303" s="1"/>
  <c r="L303"/>
  <c r="AW299"/>
  <c r="J299"/>
  <c r="AL299" s="1"/>
  <c r="BF298"/>
  <c r="AL298"/>
  <c r="BJ296"/>
  <c r="I296"/>
  <c r="BJ294"/>
  <c r="I294"/>
  <c r="BJ290"/>
  <c r="I290"/>
  <c r="BJ287"/>
  <c r="I287"/>
  <c r="BJ284"/>
  <c r="I284"/>
  <c r="AP281"/>
  <c r="H281"/>
  <c r="AP278"/>
  <c r="I278" s="1"/>
  <c r="I276" s="1"/>
  <c r="J38" i="2" s="1"/>
  <c r="H278" i="6"/>
  <c r="H276" s="1"/>
  <c r="I38" i="2" s="1"/>
  <c r="BH275" i="6"/>
  <c r="AW271"/>
  <c r="J271"/>
  <c r="BJ266"/>
  <c r="I266"/>
  <c r="I263" s="1"/>
  <c r="J35" i="2" s="1"/>
  <c r="AP261" i="6"/>
  <c r="H261"/>
  <c r="AP259"/>
  <c r="H259"/>
  <c r="H258" s="1"/>
  <c r="I34" i="2" s="1"/>
  <c r="AX256" i="6"/>
  <c r="AV256" s="1"/>
  <c r="L256"/>
  <c r="BF256" s="1"/>
  <c r="BH254"/>
  <c r="AD254" s="1"/>
  <c r="AW252"/>
  <c r="J252"/>
  <c r="AL252" s="1"/>
  <c r="AW249"/>
  <c r="J249"/>
  <c r="AL249" s="1"/>
  <c r="AW246"/>
  <c r="J246"/>
  <c r="AL246" s="1"/>
  <c r="AW243"/>
  <c r="J243"/>
  <c r="AL243" s="1"/>
  <c r="AW240"/>
  <c r="J240"/>
  <c r="AL240" s="1"/>
  <c r="AW238"/>
  <c r="J238"/>
  <c r="AL238" s="1"/>
  <c r="AW236"/>
  <c r="J236"/>
  <c r="AL236" s="1"/>
  <c r="AW232"/>
  <c r="J232"/>
  <c r="AL232" s="1"/>
  <c r="BF230"/>
  <c r="AL230"/>
  <c r="BJ228"/>
  <c r="Z228" s="1"/>
  <c r="I228"/>
  <c r="BJ223"/>
  <c r="I223"/>
  <c r="BJ220"/>
  <c r="I220"/>
  <c r="AP216"/>
  <c r="I216" s="1"/>
  <c r="H216"/>
  <c r="AP213"/>
  <c r="I213" s="1"/>
  <c r="H213"/>
  <c r="AX212"/>
  <c r="AX211"/>
  <c r="I147"/>
  <c r="J24" i="2" s="1"/>
  <c r="BC88" i="6"/>
  <c r="I155"/>
  <c r="BI155"/>
  <c r="AC155" s="1"/>
  <c r="AX155"/>
  <c r="AV155" s="1"/>
  <c r="AW359"/>
  <c r="J359"/>
  <c r="AL359" s="1"/>
  <c r="AW356"/>
  <c r="J356"/>
  <c r="AL356" s="1"/>
  <c r="AL355"/>
  <c r="BJ352"/>
  <c r="BC350"/>
  <c r="BH347"/>
  <c r="AB347" s="1"/>
  <c r="AW345"/>
  <c r="J345"/>
  <c r="AL345" s="1"/>
  <c r="AW342"/>
  <c r="J342"/>
  <c r="AL342" s="1"/>
  <c r="AL340"/>
  <c r="BJ337"/>
  <c r="BI333"/>
  <c r="AC333" s="1"/>
  <c r="AP333"/>
  <c r="H333"/>
  <c r="BC331"/>
  <c r="BI330"/>
  <c r="AC330" s="1"/>
  <c r="AP330"/>
  <c r="H330"/>
  <c r="BI327"/>
  <c r="AC327" s="1"/>
  <c r="AP327"/>
  <c r="I327" s="1"/>
  <c r="H327"/>
  <c r="BC325"/>
  <c r="BI323"/>
  <c r="AC323" s="1"/>
  <c r="AP323"/>
  <c r="H323"/>
  <c r="AX321"/>
  <c r="L321"/>
  <c r="BF321" s="1"/>
  <c r="BH319"/>
  <c r="AB319" s="1"/>
  <c r="AW317"/>
  <c r="J317"/>
  <c r="AL317" s="1"/>
  <c r="AL316"/>
  <c r="AU315" s="1"/>
  <c r="BJ312"/>
  <c r="BC309"/>
  <c r="AP308"/>
  <c r="BI308" s="1"/>
  <c r="AC308" s="1"/>
  <c r="H308"/>
  <c r="H302" s="1"/>
  <c r="I42" i="2" s="1"/>
  <c r="BC303" i="6"/>
  <c r="BH300"/>
  <c r="AB300" s="1"/>
  <c r="AX299"/>
  <c r="L299"/>
  <c r="BF299" s="1"/>
  <c r="BH298"/>
  <c r="AB298" s="1"/>
  <c r="AW296"/>
  <c r="J296"/>
  <c r="AL296" s="1"/>
  <c r="AW294"/>
  <c r="J294"/>
  <c r="AL294" s="1"/>
  <c r="AW290"/>
  <c r="J290"/>
  <c r="AL290" s="1"/>
  <c r="AW287"/>
  <c r="J287"/>
  <c r="AL287" s="1"/>
  <c r="AW284"/>
  <c r="J284"/>
  <c r="BJ281"/>
  <c r="Z281" s="1"/>
  <c r="BJ278"/>
  <c r="Z278" s="1"/>
  <c r="AP275"/>
  <c r="BI275" s="1"/>
  <c r="H275"/>
  <c r="H274" s="1"/>
  <c r="I37" i="2" s="1"/>
  <c r="AX271" i="6"/>
  <c r="L271"/>
  <c r="AW266"/>
  <c r="J266"/>
  <c r="AL266" s="1"/>
  <c r="AL264"/>
  <c r="BJ261"/>
  <c r="BJ259"/>
  <c r="BC256"/>
  <c r="BI254"/>
  <c r="AE254" s="1"/>
  <c r="AP254"/>
  <c r="H254"/>
  <c r="H253" s="1"/>
  <c r="I33" i="2" s="1"/>
  <c r="AX252" i="6"/>
  <c r="L252"/>
  <c r="BF252" s="1"/>
  <c r="AX249"/>
  <c r="L249"/>
  <c r="BF249" s="1"/>
  <c r="AX246"/>
  <c r="L246"/>
  <c r="BF246" s="1"/>
  <c r="AX243"/>
  <c r="L243"/>
  <c r="BF243" s="1"/>
  <c r="AX240"/>
  <c r="L240"/>
  <c r="BF240" s="1"/>
  <c r="AX238"/>
  <c r="L238"/>
  <c r="BF238" s="1"/>
  <c r="AX236"/>
  <c r="L236"/>
  <c r="BF236" s="1"/>
  <c r="AX232"/>
  <c r="L232"/>
  <c r="BF232" s="1"/>
  <c r="BH230"/>
  <c r="AD230" s="1"/>
  <c r="AW228"/>
  <c r="J228"/>
  <c r="AL228" s="1"/>
  <c r="AW223"/>
  <c r="J223"/>
  <c r="AL223" s="1"/>
  <c r="AW220"/>
  <c r="J220"/>
  <c r="BJ216"/>
  <c r="BJ213"/>
  <c r="AV99"/>
  <c r="BC84"/>
  <c r="AV22"/>
  <c r="AV185"/>
  <c r="BC185"/>
  <c r="BI172"/>
  <c r="AC172" s="1"/>
  <c r="AX172"/>
  <c r="I172"/>
  <c r="L51"/>
  <c r="L17" i="2" s="1"/>
  <c r="BF52" i="6"/>
  <c r="J46"/>
  <c r="K16" i="2" s="1"/>
  <c r="N16" s="1"/>
  <c r="AL47" i="6"/>
  <c r="AU46" s="1"/>
  <c r="BH312"/>
  <c r="AB312" s="1"/>
  <c r="AX359"/>
  <c r="L359"/>
  <c r="BF359" s="1"/>
  <c r="AX356"/>
  <c r="L356"/>
  <c r="AW352"/>
  <c r="J352"/>
  <c r="L351"/>
  <c r="L51" i="2" s="1"/>
  <c r="AX345" i="6"/>
  <c r="L345"/>
  <c r="BF345" s="1"/>
  <c r="AX342"/>
  <c r="L342"/>
  <c r="AW337"/>
  <c r="J337"/>
  <c r="AL337" s="1"/>
  <c r="BF335"/>
  <c r="BJ333"/>
  <c r="I333"/>
  <c r="BJ330"/>
  <c r="I330"/>
  <c r="BJ327"/>
  <c r="BJ323"/>
  <c r="I323"/>
  <c r="AX317"/>
  <c r="L317"/>
  <c r="J312"/>
  <c r="L311"/>
  <c r="L43" i="2" s="1"/>
  <c r="BJ308" i="6"/>
  <c r="AX296"/>
  <c r="L296"/>
  <c r="BF296" s="1"/>
  <c r="AX294"/>
  <c r="L294"/>
  <c r="BF294" s="1"/>
  <c r="AX290"/>
  <c r="L290"/>
  <c r="BF290" s="1"/>
  <c r="AX287"/>
  <c r="L287"/>
  <c r="BF287" s="1"/>
  <c r="AX284"/>
  <c r="L284"/>
  <c r="J281"/>
  <c r="AL281" s="1"/>
  <c r="AW278"/>
  <c r="J278"/>
  <c r="AL278" s="1"/>
  <c r="BF277"/>
  <c r="BJ275"/>
  <c r="Z275" s="1"/>
  <c r="C21" i="5" s="1"/>
  <c r="AX266" i="6"/>
  <c r="L266"/>
  <c r="AW261"/>
  <c r="J261"/>
  <c r="AL261" s="1"/>
  <c r="AW259"/>
  <c r="J259"/>
  <c r="L258"/>
  <c r="L34" i="2" s="1"/>
  <c r="BJ254" i="6"/>
  <c r="I254"/>
  <c r="I253" s="1"/>
  <c r="J33" i="2" s="1"/>
  <c r="AX228" i="6"/>
  <c r="L228"/>
  <c r="BF228" s="1"/>
  <c r="AX223"/>
  <c r="L223"/>
  <c r="BF223" s="1"/>
  <c r="AX220"/>
  <c r="L220"/>
  <c r="J216"/>
  <c r="AL216" s="1"/>
  <c r="J213"/>
  <c r="AL213" s="1"/>
  <c r="BD212"/>
  <c r="C18" i="5"/>
  <c r="BF191" i="6"/>
  <c r="L190"/>
  <c r="L29" i="2" s="1"/>
  <c r="AL184" i="6"/>
  <c r="AU183" s="1"/>
  <c r="J183"/>
  <c r="K28" i="2" s="1"/>
  <c r="N28" s="1"/>
  <c r="AL166" i="6"/>
  <c r="BI47"/>
  <c r="AC47" s="1"/>
  <c r="AX47"/>
  <c r="AX33"/>
  <c r="BC33" s="1"/>
  <c r="I33"/>
  <c r="AL350"/>
  <c r="AU349" s="1"/>
  <c r="AV347"/>
  <c r="AW333"/>
  <c r="J333"/>
  <c r="AL333" s="1"/>
  <c r="AW330"/>
  <c r="J330"/>
  <c r="AL330" s="1"/>
  <c r="AW327"/>
  <c r="J327"/>
  <c r="AL327" s="1"/>
  <c r="AW323"/>
  <c r="J323"/>
  <c r="BD321"/>
  <c r="AV319"/>
  <c r="AW308"/>
  <c r="J308"/>
  <c r="AL308" s="1"/>
  <c r="AL303"/>
  <c r="AU302" s="1"/>
  <c r="AV300"/>
  <c r="BD299"/>
  <c r="AV298"/>
  <c r="AW275"/>
  <c r="J275"/>
  <c r="BD271"/>
  <c r="AW254"/>
  <c r="J254"/>
  <c r="BD252"/>
  <c r="AV250"/>
  <c r="BD249"/>
  <c r="AV248"/>
  <c r="BD246"/>
  <c r="AV245"/>
  <c r="BD243"/>
  <c r="AV242"/>
  <c r="BD240"/>
  <c r="AV239"/>
  <c r="BD238"/>
  <c r="AV237"/>
  <c r="BD236"/>
  <c r="AV234"/>
  <c r="BD232"/>
  <c r="AV230"/>
  <c r="BC209"/>
  <c r="BI175"/>
  <c r="AC175" s="1"/>
  <c r="AX175"/>
  <c r="I175"/>
  <c r="AX30"/>
  <c r="BC30" s="1"/>
  <c r="I30"/>
  <c r="BC211"/>
  <c r="AX333"/>
  <c r="AX330"/>
  <c r="AX327"/>
  <c r="AX323"/>
  <c r="AX275"/>
  <c r="AX254"/>
  <c r="BI211"/>
  <c r="AE211" s="1"/>
  <c r="C20" i="5"/>
  <c r="L147" i="6"/>
  <c r="L24" i="2" s="1"/>
  <c r="BF150" i="6"/>
  <c r="L145"/>
  <c r="L23" i="2" s="1"/>
  <c r="BF146" i="6"/>
  <c r="AV52"/>
  <c r="BC52"/>
  <c r="BF29"/>
  <c r="AX20"/>
  <c r="I20"/>
  <c r="BI20"/>
  <c r="AC20" s="1"/>
  <c r="L13"/>
  <c r="BF14"/>
  <c r="BJ212"/>
  <c r="AO212"/>
  <c r="BC92"/>
  <c r="BC79"/>
  <c r="AV75"/>
  <c r="AV72"/>
  <c r="AV70"/>
  <c r="AV24"/>
  <c r="BI212"/>
  <c r="AE212" s="1"/>
  <c r="L207"/>
  <c r="L30" i="2" s="1"/>
  <c r="BF208" i="6"/>
  <c r="AV44"/>
  <c r="AV20"/>
  <c r="BC20"/>
  <c r="AX357"/>
  <c r="BC357" s="1"/>
  <c r="BJ350"/>
  <c r="Z350" s="1"/>
  <c r="AW335"/>
  <c r="BJ331"/>
  <c r="BJ329"/>
  <c r="BJ325"/>
  <c r="BI321"/>
  <c r="AC321" s="1"/>
  <c r="BJ309"/>
  <c r="BJ303"/>
  <c r="BI299"/>
  <c r="AC299" s="1"/>
  <c r="AW279"/>
  <c r="AW277"/>
  <c r="BI271"/>
  <c r="AC271" s="1"/>
  <c r="AW260"/>
  <c r="BJ256"/>
  <c r="BI252"/>
  <c r="BI249"/>
  <c r="AE249" s="1"/>
  <c r="BI246"/>
  <c r="AE246" s="1"/>
  <c r="BI243"/>
  <c r="AE243" s="1"/>
  <c r="BI240"/>
  <c r="AE240" s="1"/>
  <c r="BI238"/>
  <c r="AE238" s="1"/>
  <c r="BI236"/>
  <c r="AE236" s="1"/>
  <c r="BI232"/>
  <c r="AE232" s="1"/>
  <c r="AW218"/>
  <c r="AW215"/>
  <c r="AV211"/>
  <c r="AX210"/>
  <c r="AS207"/>
  <c r="AV181"/>
  <c r="BC155"/>
  <c r="C28" i="5"/>
  <c r="F28" s="1"/>
  <c r="H195" i="6"/>
  <c r="H191"/>
  <c r="BD177"/>
  <c r="BJ175"/>
  <c r="BD174"/>
  <c r="BJ172"/>
  <c r="BD170"/>
  <c r="BJ168"/>
  <c r="BD166"/>
  <c r="BI164"/>
  <c r="AC164" s="1"/>
  <c r="AP164"/>
  <c r="H164"/>
  <c r="BI161"/>
  <c r="AC161" s="1"/>
  <c r="AP161"/>
  <c r="H161"/>
  <c r="BH156"/>
  <c r="AB156" s="1"/>
  <c r="BH154"/>
  <c r="AB154" s="1"/>
  <c r="BH150"/>
  <c r="AB150" s="1"/>
  <c r="BJ144"/>
  <c r="BI140"/>
  <c r="AC140" s="1"/>
  <c r="AP140"/>
  <c r="I140" s="1"/>
  <c r="H140"/>
  <c r="BI137"/>
  <c r="AC137" s="1"/>
  <c r="AP137"/>
  <c r="I137" s="1"/>
  <c r="H137"/>
  <c r="BH134"/>
  <c r="AB134" s="1"/>
  <c r="BH132"/>
  <c r="AB132" s="1"/>
  <c r="BH130"/>
  <c r="AB130" s="1"/>
  <c r="BH128"/>
  <c r="AB128" s="1"/>
  <c r="BH126"/>
  <c r="AB126" s="1"/>
  <c r="BH124"/>
  <c r="AB124" s="1"/>
  <c r="BH122"/>
  <c r="AB122" s="1"/>
  <c r="BH120"/>
  <c r="AB120" s="1"/>
  <c r="L101"/>
  <c r="BF101" s="1"/>
  <c r="L99"/>
  <c r="BF99" s="1"/>
  <c r="AX97"/>
  <c r="AV97" s="1"/>
  <c r="L97"/>
  <c r="BF97" s="1"/>
  <c r="BH96"/>
  <c r="AB96" s="1"/>
  <c r="AX95"/>
  <c r="BC95" s="1"/>
  <c r="L95"/>
  <c r="BF95" s="1"/>
  <c r="AX93"/>
  <c r="BC93" s="1"/>
  <c r="L93"/>
  <c r="BF93" s="1"/>
  <c r="AX91"/>
  <c r="BC91" s="1"/>
  <c r="L91"/>
  <c r="BF91" s="1"/>
  <c r="AX89"/>
  <c r="L89"/>
  <c r="BF89" s="1"/>
  <c r="AX87"/>
  <c r="L87"/>
  <c r="BF87" s="1"/>
  <c r="AX85"/>
  <c r="L85"/>
  <c r="BF85" s="1"/>
  <c r="AX83"/>
  <c r="L83"/>
  <c r="BF83" s="1"/>
  <c r="AX80"/>
  <c r="L80"/>
  <c r="BF80" s="1"/>
  <c r="AX77"/>
  <c r="L77"/>
  <c r="BF77" s="1"/>
  <c r="L74"/>
  <c r="BF74" s="1"/>
  <c r="L71"/>
  <c r="BF71" s="1"/>
  <c r="L68"/>
  <c r="BF65"/>
  <c r="BJ63"/>
  <c r="I63"/>
  <c r="BJ60"/>
  <c r="AV60"/>
  <c r="I60"/>
  <c r="AW43"/>
  <c r="J43"/>
  <c r="AL43" s="1"/>
  <c r="AV33"/>
  <c r="AV30"/>
  <c r="AT13"/>
  <c r="I195"/>
  <c r="I191"/>
  <c r="AX181"/>
  <c r="BC181" s="1"/>
  <c r="AW175"/>
  <c r="J175"/>
  <c r="AL175" s="1"/>
  <c r="AW172"/>
  <c r="J172"/>
  <c r="AL172" s="1"/>
  <c r="AW168"/>
  <c r="J168"/>
  <c r="AL168" s="1"/>
  <c r="BF166"/>
  <c r="BJ164"/>
  <c r="I164"/>
  <c r="BJ161"/>
  <c r="I161"/>
  <c r="BI156"/>
  <c r="AC156" s="1"/>
  <c r="H156"/>
  <c r="BI154"/>
  <c r="AC154" s="1"/>
  <c r="H154"/>
  <c r="BI150"/>
  <c r="AC150" s="1"/>
  <c r="H150"/>
  <c r="H147" s="1"/>
  <c r="I24" i="2" s="1"/>
  <c r="AW144" i="6"/>
  <c r="J144"/>
  <c r="L143"/>
  <c r="L22" i="2" s="1"/>
  <c r="BJ140" i="6"/>
  <c r="BJ137"/>
  <c r="BC135"/>
  <c r="BI134"/>
  <c r="AC134" s="1"/>
  <c r="H134"/>
  <c r="BC133"/>
  <c r="BI132"/>
  <c r="AC132" s="1"/>
  <c r="H132"/>
  <c r="BC131"/>
  <c r="BI130"/>
  <c r="AC130" s="1"/>
  <c r="H130"/>
  <c r="BC129"/>
  <c r="BI128"/>
  <c r="AC128" s="1"/>
  <c r="H128"/>
  <c r="BC127"/>
  <c r="BI126"/>
  <c r="AC126" s="1"/>
  <c r="H126"/>
  <c r="BC125"/>
  <c r="BI124"/>
  <c r="AC124" s="1"/>
  <c r="H124"/>
  <c r="BC123"/>
  <c r="BI122"/>
  <c r="AC122" s="1"/>
  <c r="H122"/>
  <c r="BC121"/>
  <c r="BI120"/>
  <c r="AC120" s="1"/>
  <c r="H120"/>
  <c r="BC119"/>
  <c r="BI118"/>
  <c r="AC118" s="1"/>
  <c r="H118"/>
  <c r="BI116"/>
  <c r="AC116" s="1"/>
  <c r="H116"/>
  <c r="BI114"/>
  <c r="AC114" s="1"/>
  <c r="H114"/>
  <c r="BC113"/>
  <c r="BI112"/>
  <c r="AC112" s="1"/>
  <c r="H112"/>
  <c r="BC111"/>
  <c r="BI110"/>
  <c r="AC110" s="1"/>
  <c r="H110"/>
  <c r="BC109"/>
  <c r="BI108"/>
  <c r="AC108" s="1"/>
  <c r="H108"/>
  <c r="BC107"/>
  <c r="H106"/>
  <c r="BC105"/>
  <c r="H104"/>
  <c r="BC103"/>
  <c r="H102"/>
  <c r="BC101"/>
  <c r="H100"/>
  <c r="BC99"/>
  <c r="H98"/>
  <c r="BC97"/>
  <c r="I27"/>
  <c r="AV25"/>
  <c r="I25"/>
  <c r="I22"/>
  <c r="I96"/>
  <c r="AV94"/>
  <c r="I94"/>
  <c r="AV92"/>
  <c r="I92"/>
  <c r="AV90"/>
  <c r="I90"/>
  <c r="AV88"/>
  <c r="I88"/>
  <c r="AV86"/>
  <c r="I86"/>
  <c r="AV84"/>
  <c r="I84"/>
  <c r="AV82"/>
  <c r="I82"/>
  <c r="AV79"/>
  <c r="I79"/>
  <c r="BJ75"/>
  <c r="I75"/>
  <c r="BJ72"/>
  <c r="I72"/>
  <c r="BJ70"/>
  <c r="I70"/>
  <c r="AP65"/>
  <c r="BI65" s="1"/>
  <c r="AE65" s="1"/>
  <c r="AX63"/>
  <c r="AV63" s="1"/>
  <c r="L63"/>
  <c r="BF63" s="1"/>
  <c r="BH62"/>
  <c r="AB62" s="1"/>
  <c r="AX60"/>
  <c r="BC60" s="1"/>
  <c r="L60"/>
  <c r="BF60" s="1"/>
  <c r="BH59"/>
  <c r="AB59" s="1"/>
  <c r="BJ49"/>
  <c r="AV49"/>
  <c r="I49"/>
  <c r="BD47"/>
  <c r="BI44"/>
  <c r="AC44" s="1"/>
  <c r="AP44"/>
  <c r="AX44" s="1"/>
  <c r="BC44" s="1"/>
  <c r="H44"/>
  <c r="BI38"/>
  <c r="AC38" s="1"/>
  <c r="AP38"/>
  <c r="AX38" s="1"/>
  <c r="AV38" s="1"/>
  <c r="H38"/>
  <c r="AX36"/>
  <c r="BC36" s="1"/>
  <c r="L36"/>
  <c r="BF36" s="1"/>
  <c r="BH35"/>
  <c r="AB35" s="1"/>
  <c r="L33"/>
  <c r="BF33" s="1"/>
  <c r="BH31"/>
  <c r="AB31" s="1"/>
  <c r="L30"/>
  <c r="BF30" s="1"/>
  <c r="BH29"/>
  <c r="AB29" s="1"/>
  <c r="C14" i="5" s="1"/>
  <c r="BI208" i="6"/>
  <c r="AE208" s="1"/>
  <c r="H208"/>
  <c r="AX206"/>
  <c r="BC206" s="1"/>
  <c r="BH204"/>
  <c r="AD204" s="1"/>
  <c r="AX202"/>
  <c r="BC202" s="1"/>
  <c r="BH200"/>
  <c r="AD200" s="1"/>
  <c r="AX199"/>
  <c r="BC199" s="1"/>
  <c r="BH197"/>
  <c r="AD197" s="1"/>
  <c r="AX195"/>
  <c r="BC195" s="1"/>
  <c r="BH193"/>
  <c r="AD193" s="1"/>
  <c r="AX191"/>
  <c r="AV191" s="1"/>
  <c r="AW186"/>
  <c r="AW184"/>
  <c r="BI177"/>
  <c r="AC177" s="1"/>
  <c r="AP177"/>
  <c r="AX177" s="1"/>
  <c r="AV177" s="1"/>
  <c r="H177"/>
  <c r="AP174"/>
  <c r="AX174" s="1"/>
  <c r="AV174" s="1"/>
  <c r="H174"/>
  <c r="BI170"/>
  <c r="AC170" s="1"/>
  <c r="AP170"/>
  <c r="AX170" s="1"/>
  <c r="AV170" s="1"/>
  <c r="H170"/>
  <c r="H165" s="1"/>
  <c r="I26" i="2" s="1"/>
  <c r="AP166" i="6"/>
  <c r="AX164"/>
  <c r="AV164" s="1"/>
  <c r="L164"/>
  <c r="BF164" s="1"/>
  <c r="BH162"/>
  <c r="AB162" s="1"/>
  <c r="AX161"/>
  <c r="BC161" s="1"/>
  <c r="L161"/>
  <c r="BF161" s="1"/>
  <c r="BH159"/>
  <c r="AB159" s="1"/>
  <c r="AW156"/>
  <c r="J156"/>
  <c r="AL156" s="1"/>
  <c r="AW154"/>
  <c r="J154"/>
  <c r="AL154" s="1"/>
  <c r="AW150"/>
  <c r="J150"/>
  <c r="BJ146"/>
  <c r="I146"/>
  <c r="I145" s="1"/>
  <c r="J23" i="2" s="1"/>
  <c r="BH141" i="6"/>
  <c r="AB141" s="1"/>
  <c r="AX140"/>
  <c r="BC140" s="1"/>
  <c r="BH139"/>
  <c r="AB139" s="1"/>
  <c r="AX137"/>
  <c r="AV137" s="1"/>
  <c r="AW134"/>
  <c r="J134"/>
  <c r="AL134" s="1"/>
  <c r="AW132"/>
  <c r="J132"/>
  <c r="AL132" s="1"/>
  <c r="AW130"/>
  <c r="J130"/>
  <c r="AL130" s="1"/>
  <c r="AW128"/>
  <c r="J128"/>
  <c r="AL128" s="1"/>
  <c r="AW126"/>
  <c r="J126"/>
  <c r="AL126" s="1"/>
  <c r="AW124"/>
  <c r="J124"/>
  <c r="AL124" s="1"/>
  <c r="AW122"/>
  <c r="J122"/>
  <c r="AL122" s="1"/>
  <c r="AW120"/>
  <c r="J120"/>
  <c r="AL120" s="1"/>
  <c r="AW118"/>
  <c r="J118"/>
  <c r="AL118" s="1"/>
  <c r="AW116"/>
  <c r="J116"/>
  <c r="AL116" s="1"/>
  <c r="AW114"/>
  <c r="J114"/>
  <c r="AL114" s="1"/>
  <c r="AW112"/>
  <c r="J112"/>
  <c r="AL112" s="1"/>
  <c r="AW110"/>
  <c r="J110"/>
  <c r="AL110" s="1"/>
  <c r="AW108"/>
  <c r="J108"/>
  <c r="AL108" s="1"/>
  <c r="AW106"/>
  <c r="J106"/>
  <c r="AL106" s="1"/>
  <c r="J104"/>
  <c r="AL104" s="1"/>
  <c r="J102"/>
  <c r="AL102" s="1"/>
  <c r="J100"/>
  <c r="AL100" s="1"/>
  <c r="BJ65"/>
  <c r="BI62"/>
  <c r="AC62" s="1"/>
  <c r="H62"/>
  <c r="BI59"/>
  <c r="AC59" s="1"/>
  <c r="H59"/>
  <c r="H58" s="1"/>
  <c r="I18" i="2" s="1"/>
  <c r="BJ44" i="6"/>
  <c r="BJ38"/>
  <c r="BI35"/>
  <c r="AC35" s="1"/>
  <c r="H35"/>
  <c r="BI31"/>
  <c r="AC31" s="1"/>
  <c r="H31"/>
  <c r="BI29"/>
  <c r="AC29" s="1"/>
  <c r="H29"/>
  <c r="BJ208"/>
  <c r="I208"/>
  <c r="BI204"/>
  <c r="AE204" s="1"/>
  <c r="H204"/>
  <c r="BI200"/>
  <c r="AE200" s="1"/>
  <c r="H200"/>
  <c r="BI197"/>
  <c r="AE197" s="1"/>
  <c r="H197"/>
  <c r="BI193"/>
  <c r="AE193" s="1"/>
  <c r="H193"/>
  <c r="I177"/>
  <c r="BD175"/>
  <c r="BD172"/>
  <c r="I170"/>
  <c r="BD168"/>
  <c r="BJ166"/>
  <c r="BI162"/>
  <c r="AC162" s="1"/>
  <c r="H162"/>
  <c r="BI159"/>
  <c r="AC159" s="1"/>
  <c r="H159"/>
  <c r="AX156"/>
  <c r="AX154"/>
  <c r="AX150"/>
  <c r="AW146"/>
  <c r="J146"/>
  <c r="BD144"/>
  <c r="BI141"/>
  <c r="AC141" s="1"/>
  <c r="H141"/>
  <c r="BI139"/>
  <c r="AC139" s="1"/>
  <c r="H139"/>
  <c r="AX134"/>
  <c r="AX132"/>
  <c r="AX130"/>
  <c r="AX128"/>
  <c r="AX126"/>
  <c r="AX124"/>
  <c r="AX122"/>
  <c r="AX120"/>
  <c r="AX118"/>
  <c r="AX116"/>
  <c r="AX114"/>
  <c r="AX112"/>
  <c r="AX110"/>
  <c r="AX108"/>
  <c r="AX106"/>
  <c r="AX104"/>
  <c r="AV104" s="1"/>
  <c r="AX102"/>
  <c r="AV102" s="1"/>
  <c r="AX100"/>
  <c r="AV100" s="1"/>
  <c r="AX98"/>
  <c r="AV98" s="1"/>
  <c r="J65"/>
  <c r="I62"/>
  <c r="I59"/>
  <c r="H52"/>
  <c r="H51" s="1"/>
  <c r="I17" i="2" s="1"/>
  <c r="J44" i="6"/>
  <c r="AL44" s="1"/>
  <c r="J38"/>
  <c r="I35"/>
  <c r="I31"/>
  <c r="I29"/>
  <c r="I28" s="1"/>
  <c r="J14" i="2" s="1"/>
  <c r="H26" i="6"/>
  <c r="H20"/>
  <c r="H17"/>
  <c r="BI14"/>
  <c r="AC14" s="1"/>
  <c r="H14"/>
  <c r="AW208"/>
  <c r="J208"/>
  <c r="BJ204"/>
  <c r="I204"/>
  <c r="BJ200"/>
  <c r="I200"/>
  <c r="BJ197"/>
  <c r="I197"/>
  <c r="BJ193"/>
  <c r="I193"/>
  <c r="H185"/>
  <c r="H183" s="1"/>
  <c r="I28" i="2" s="1"/>
  <c r="BJ162" i="6"/>
  <c r="I162"/>
  <c r="BJ159"/>
  <c r="I159"/>
  <c r="I158" s="1"/>
  <c r="J25" i="2" s="1"/>
  <c r="AX146" i="6"/>
  <c r="BJ141"/>
  <c r="I141"/>
  <c r="BJ139"/>
  <c r="I139"/>
  <c r="H95"/>
  <c r="H93"/>
  <c r="H91"/>
  <c r="H89"/>
  <c r="H87"/>
  <c r="H85"/>
  <c r="H83"/>
  <c r="H80"/>
  <c r="H67" s="1"/>
  <c r="I20" i="2" s="1"/>
  <c r="AW62" i="6"/>
  <c r="J62"/>
  <c r="AL62" s="1"/>
  <c r="AW59"/>
  <c r="J59"/>
  <c r="I52"/>
  <c r="I51" s="1"/>
  <c r="J17" i="2" s="1"/>
  <c r="AW35" i="6"/>
  <c r="J35"/>
  <c r="AL35" s="1"/>
  <c r="AW31"/>
  <c r="J31"/>
  <c r="AL31" s="1"/>
  <c r="AW29"/>
  <c r="J29"/>
  <c r="I24"/>
  <c r="BJ14"/>
  <c r="I14"/>
  <c r="I13" s="1"/>
  <c r="J204"/>
  <c r="AL204" s="1"/>
  <c r="AW200"/>
  <c r="J200"/>
  <c r="AL200" s="1"/>
  <c r="AW197"/>
  <c r="J197"/>
  <c r="AL197" s="1"/>
  <c r="AW193"/>
  <c r="J193"/>
  <c r="AL193" s="1"/>
  <c r="AU190" s="1"/>
  <c r="J162"/>
  <c r="AL162" s="1"/>
  <c r="AU158" s="1"/>
  <c r="AW141"/>
  <c r="J141"/>
  <c r="AL141" s="1"/>
  <c r="AW139"/>
  <c r="J139"/>
  <c r="AL139" s="1"/>
  <c r="AU136" s="1"/>
  <c r="I95"/>
  <c r="I93"/>
  <c r="I91"/>
  <c r="I89"/>
  <c r="BJ87"/>
  <c r="I87"/>
  <c r="BJ85"/>
  <c r="I85"/>
  <c r="BJ83"/>
  <c r="I83"/>
  <c r="BJ80"/>
  <c r="I80"/>
  <c r="BJ77"/>
  <c r="I77"/>
  <c r="BJ74"/>
  <c r="I74"/>
  <c r="BJ71"/>
  <c r="I71"/>
  <c r="BJ68"/>
  <c r="I68"/>
  <c r="I67" s="1"/>
  <c r="J20" i="2" s="1"/>
  <c r="BH63" i="6"/>
  <c r="AB63" s="1"/>
  <c r="AX62"/>
  <c r="BH60"/>
  <c r="AB60" s="1"/>
  <c r="AX59"/>
  <c r="AW56"/>
  <c r="J56"/>
  <c r="AL56" s="1"/>
  <c r="AW54"/>
  <c r="J54"/>
  <c r="AL54" s="1"/>
  <c r="J52"/>
  <c r="BJ47"/>
  <c r="I47"/>
  <c r="I46" s="1"/>
  <c r="J16" i="2" s="1"/>
  <c r="BI43" i="6"/>
  <c r="AC43" s="1"/>
  <c r="H43"/>
  <c r="BH36"/>
  <c r="AB36" s="1"/>
  <c r="AX35"/>
  <c r="BH33"/>
  <c r="AB33" s="1"/>
  <c r="AX31"/>
  <c r="AX29"/>
  <c r="J26"/>
  <c r="AL26" s="1"/>
  <c r="J20"/>
  <c r="AL20" s="1"/>
  <c r="J17"/>
  <c r="AL17" s="1"/>
  <c r="AW14"/>
  <c r="J14"/>
  <c r="C27" i="5"/>
  <c r="AX204" i="6"/>
  <c r="BC204" s="1"/>
  <c r="AX200"/>
  <c r="AX197"/>
  <c r="AX193"/>
  <c r="AX162"/>
  <c r="BC162" s="1"/>
  <c r="AX159"/>
  <c r="AV159" s="1"/>
  <c r="AX141"/>
  <c r="AX139"/>
  <c r="AW89"/>
  <c r="AW87"/>
  <c r="AW85"/>
  <c r="AW83"/>
  <c r="AW80"/>
  <c r="AW77"/>
  <c r="AW74"/>
  <c r="AW71"/>
  <c r="AW68"/>
  <c r="BI63"/>
  <c r="AC63" s="1"/>
  <c r="BI60"/>
  <c r="AC60" s="1"/>
  <c r="AX56"/>
  <c r="AX54"/>
  <c r="AW47"/>
  <c r="BJ43"/>
  <c r="BI36"/>
  <c r="AC36" s="1"/>
  <c r="BI33"/>
  <c r="AC33" s="1"/>
  <c r="BI30"/>
  <c r="AC30" s="1"/>
  <c r="AX26"/>
  <c r="BC26" s="1"/>
  <c r="AX14"/>
  <c r="C17" i="5" l="1"/>
  <c r="I136" i="6"/>
  <c r="J21" i="2" s="1"/>
  <c r="J64" i="6"/>
  <c r="K19" i="2" s="1"/>
  <c r="N19" s="1"/>
  <c r="AL65" i="6"/>
  <c r="AU64" s="1"/>
  <c r="BC110"/>
  <c r="AV110"/>
  <c r="BC118"/>
  <c r="AV118"/>
  <c r="BC126"/>
  <c r="AV126"/>
  <c r="BC134"/>
  <c r="AV134"/>
  <c r="BC150"/>
  <c r="AV150"/>
  <c r="AV260"/>
  <c r="BC260"/>
  <c r="AL254"/>
  <c r="AU253" s="1"/>
  <c r="J253"/>
  <c r="K33" i="2" s="1"/>
  <c r="N33" s="1"/>
  <c r="BC327" i="6"/>
  <c r="AV327"/>
  <c r="AL259"/>
  <c r="AU258" s="1"/>
  <c r="J258"/>
  <c r="K34" i="2" s="1"/>
  <c r="N34" s="1"/>
  <c r="BC266" i="6"/>
  <c r="AV266"/>
  <c r="AL284"/>
  <c r="AU283" s="1"/>
  <c r="J283"/>
  <c r="AX259"/>
  <c r="BI259"/>
  <c r="AC259" s="1"/>
  <c r="AX312"/>
  <c r="I312"/>
  <c r="I311" s="1"/>
  <c r="J43" i="2" s="1"/>
  <c r="BI312" i="6"/>
  <c r="AC312" s="1"/>
  <c r="I190"/>
  <c r="J29" i="2" s="1"/>
  <c r="BC159" i="6"/>
  <c r="BC102"/>
  <c r="BC137"/>
  <c r="BC38"/>
  <c r="AV357"/>
  <c r="J334"/>
  <c r="K47" i="2" s="1"/>
  <c r="N47" s="1"/>
  <c r="AL150" i="6"/>
  <c r="AU147" s="1"/>
  <c r="J147"/>
  <c r="K24" i="2" s="1"/>
  <c r="N24" s="1"/>
  <c r="BF220" i="6"/>
  <c r="L219"/>
  <c r="L31" i="2" s="1"/>
  <c r="L339" i="6"/>
  <c r="L48" i="2" s="1"/>
  <c r="BF342" i="6"/>
  <c r="BC294"/>
  <c r="AV294"/>
  <c r="AV236"/>
  <c r="BC236"/>
  <c r="AV246"/>
  <c r="BC246"/>
  <c r="J190"/>
  <c r="K29" i="2" s="1"/>
  <c r="N29" s="1"/>
  <c r="H190" i="6"/>
  <c r="I29" i="2" s="1"/>
  <c r="AV93" i="6"/>
  <c r="BC100"/>
  <c r="AV162"/>
  <c r="BC104"/>
  <c r="J315"/>
  <c r="K44" i="2" s="1"/>
  <c r="N44" s="1"/>
  <c r="J263" i="6"/>
  <c r="K35" i="2" s="1"/>
  <c r="N35" s="1"/>
  <c r="L229" i="6"/>
  <c r="L32" i="2" s="1"/>
  <c r="J229" i="6"/>
  <c r="K32" i="2" s="1"/>
  <c r="N32" s="1"/>
  <c r="AU334" i="6"/>
  <c r="AV89"/>
  <c r="BC89"/>
  <c r="AV200"/>
  <c r="BC200"/>
  <c r="AV139"/>
  <c r="BC139"/>
  <c r="BC108"/>
  <c r="AV108"/>
  <c r="BC116"/>
  <c r="AV116"/>
  <c r="BC124"/>
  <c r="AV124"/>
  <c r="BC132"/>
  <c r="AV132"/>
  <c r="BC186"/>
  <c r="AV186"/>
  <c r="AV218"/>
  <c r="BC218"/>
  <c r="L13" i="2"/>
  <c r="BC323" i="6"/>
  <c r="AV323"/>
  <c r="AV337"/>
  <c r="L354"/>
  <c r="L52" i="2" s="1"/>
  <c r="BF356" i="6"/>
  <c r="BC228"/>
  <c r="AV228"/>
  <c r="BC317"/>
  <c r="AV317"/>
  <c r="BC345"/>
  <c r="AV345"/>
  <c r="BC359"/>
  <c r="AV359"/>
  <c r="BC271"/>
  <c r="AV271"/>
  <c r="AV321"/>
  <c r="BC321"/>
  <c r="I58"/>
  <c r="J18" i="2" s="1"/>
  <c r="H158" i="6"/>
  <c r="I25" i="2" s="1"/>
  <c r="I174" i="6"/>
  <c r="AV140"/>
  <c r="AV206"/>
  <c r="H136"/>
  <c r="I21" i="2" s="1"/>
  <c r="AX308" i="6"/>
  <c r="BC177"/>
  <c r="J158"/>
  <c r="K25" i="2" s="1"/>
  <c r="N25" s="1"/>
  <c r="I275" i="6"/>
  <c r="I274" s="1"/>
  <c r="J37" i="2" s="1"/>
  <c r="I308" i="6"/>
  <c r="I302" s="1"/>
  <c r="J42" i="2" s="1"/>
  <c r="AV26" i="6"/>
  <c r="BC164"/>
  <c r="AU263"/>
  <c r="AU297"/>
  <c r="I259"/>
  <c r="I258" s="1"/>
  <c r="J34" i="2" s="1"/>
  <c r="AV85" i="6"/>
  <c r="BC85"/>
  <c r="BC62"/>
  <c r="AV62"/>
  <c r="AV83"/>
  <c r="BC83"/>
  <c r="AV197"/>
  <c r="BC197"/>
  <c r="BC29"/>
  <c r="AV29"/>
  <c r="BC184"/>
  <c r="AV184"/>
  <c r="BC175"/>
  <c r="AV175"/>
  <c r="AV215"/>
  <c r="BC215"/>
  <c r="J322"/>
  <c r="K46" i="2" s="1"/>
  <c r="N46" s="1"/>
  <c r="AL323" i="6"/>
  <c r="AU322" s="1"/>
  <c r="BC290"/>
  <c r="AV290"/>
  <c r="AV232"/>
  <c r="BC232"/>
  <c r="AV243"/>
  <c r="BC243"/>
  <c r="J270"/>
  <c r="K36" i="2" s="1"/>
  <c r="N36" s="1"/>
  <c r="AL271" i="6"/>
  <c r="AU270" s="1"/>
  <c r="AV202"/>
  <c r="AV91"/>
  <c r="BC98"/>
  <c r="BC174"/>
  <c r="BC191"/>
  <c r="J67"/>
  <c r="K20" i="2" s="1"/>
  <c r="N20" s="1"/>
  <c r="AV329" i="6"/>
  <c r="L322"/>
  <c r="L46" i="2" s="1"/>
  <c r="J51" i="6"/>
  <c r="K17" i="2" s="1"/>
  <c r="N17" s="1"/>
  <c r="AL52" i="6"/>
  <c r="AU51" s="1"/>
  <c r="AV141"/>
  <c r="BC141"/>
  <c r="AV87"/>
  <c r="BC87"/>
  <c r="BC59"/>
  <c r="AV59"/>
  <c r="BC106"/>
  <c r="AV106"/>
  <c r="BC114"/>
  <c r="AV114"/>
  <c r="BC122"/>
  <c r="AV122"/>
  <c r="BC130"/>
  <c r="AV130"/>
  <c r="BC156"/>
  <c r="AV156"/>
  <c r="AV43"/>
  <c r="BC43"/>
  <c r="L67"/>
  <c r="L20" i="2" s="1"/>
  <c r="BF68" i="6"/>
  <c r="BC275"/>
  <c r="AV275"/>
  <c r="BC333"/>
  <c r="AV333"/>
  <c r="L263"/>
  <c r="L35" i="2" s="1"/>
  <c r="BF266" i="6"/>
  <c r="BF284"/>
  <c r="L283"/>
  <c r="AL352"/>
  <c r="AU351" s="1"/>
  <c r="J351"/>
  <c r="K51" i="2" s="1"/>
  <c r="N51" s="1"/>
  <c r="BC223" i="6"/>
  <c r="AV223"/>
  <c r="BC342"/>
  <c r="AV342"/>
  <c r="BC356"/>
  <c r="AV356"/>
  <c r="AX352"/>
  <c r="AV352" s="1"/>
  <c r="I352"/>
  <c r="I351" s="1"/>
  <c r="J51" i="2" s="1"/>
  <c r="BI352" i="6"/>
  <c r="AG352" s="1"/>
  <c r="C19" i="5" s="1"/>
  <c r="AV210" i="6"/>
  <c r="BC210"/>
  <c r="AV199"/>
  <c r="AV95"/>
  <c r="J165"/>
  <c r="K26" i="2" s="1"/>
  <c r="N26" s="1"/>
  <c r="I322" i="6"/>
  <c r="J46" i="2" s="1"/>
  <c r="I219" i="6"/>
  <c r="J31" i="2" s="1"/>
  <c r="I283" i="6"/>
  <c r="AU67"/>
  <c r="L158"/>
  <c r="L25" i="2" s="1"/>
  <c r="L253" i="6"/>
  <c r="L33" i="2" s="1"/>
  <c r="J276" i="6"/>
  <c r="K38" i="2" s="1"/>
  <c r="N38" s="1"/>
  <c r="J354" i="6"/>
  <c r="K52" i="2" s="1"/>
  <c r="N52" s="1"/>
  <c r="L318" i="6"/>
  <c r="L45" i="2" s="1"/>
  <c r="AV71" i="6"/>
  <c r="BC71"/>
  <c r="AV47"/>
  <c r="BC47"/>
  <c r="AV14"/>
  <c r="BC14"/>
  <c r="AV193"/>
  <c r="BC193"/>
  <c r="J58"/>
  <c r="K18" i="2" s="1"/>
  <c r="N18" s="1"/>
  <c r="AL59" i="6"/>
  <c r="AU58" s="1"/>
  <c r="J37"/>
  <c r="K15" i="2" s="1"/>
  <c r="N15" s="1"/>
  <c r="AL38" i="6"/>
  <c r="AU37" s="1"/>
  <c r="AX166"/>
  <c r="I166"/>
  <c r="I165" s="1"/>
  <c r="J26" i="2" s="1"/>
  <c r="BI166" i="6"/>
  <c r="AC166" s="1"/>
  <c r="C15" i="5" s="1"/>
  <c r="C22" s="1"/>
  <c r="BC172" i="6"/>
  <c r="AV172"/>
  <c r="AV279"/>
  <c r="BC279"/>
  <c r="AV335"/>
  <c r="BC335"/>
  <c r="BH212"/>
  <c r="AD212" s="1"/>
  <c r="C16" i="5" s="1"/>
  <c r="AW212" i="6"/>
  <c r="AL275"/>
  <c r="AU274" s="1"/>
  <c r="J274"/>
  <c r="K37" i="2" s="1"/>
  <c r="N37" s="1"/>
  <c r="BC287" i="6"/>
  <c r="AV287"/>
  <c r="AX216"/>
  <c r="BI216"/>
  <c r="AE216" s="1"/>
  <c r="AV240"/>
  <c r="BC240"/>
  <c r="AV252"/>
  <c r="BC252"/>
  <c r="AX281"/>
  <c r="BI281"/>
  <c r="H13"/>
  <c r="H28"/>
  <c r="I14" i="2" s="1"/>
  <c r="AV195" i="6"/>
  <c r="I38"/>
  <c r="I37" s="1"/>
  <c r="J15" i="2" s="1"/>
  <c r="L28" i="6"/>
  <c r="L14" i="2" s="1"/>
  <c r="I44" i="6"/>
  <c r="AU165"/>
  <c r="AU318"/>
  <c r="L58"/>
  <c r="L18" i="2" s="1"/>
  <c r="BC170" i="6"/>
  <c r="AU276"/>
  <c r="J297"/>
  <c r="K41" i="2" s="1"/>
  <c r="N41" s="1"/>
  <c r="AV68" i="6"/>
  <c r="BC68"/>
  <c r="BC31"/>
  <c r="AV31"/>
  <c r="AV80"/>
  <c r="BC80"/>
  <c r="AV56"/>
  <c r="BC56"/>
  <c r="J28"/>
  <c r="K14" i="2" s="1"/>
  <c r="N14" s="1"/>
  <c r="AL29" i="6"/>
  <c r="AU28" s="1"/>
  <c r="AV77"/>
  <c r="BC77"/>
  <c r="AV74"/>
  <c r="BC74"/>
  <c r="J13"/>
  <c r="AL14"/>
  <c r="AV54"/>
  <c r="BC54"/>
  <c r="BC208"/>
  <c r="AV208"/>
  <c r="BC146"/>
  <c r="AV146"/>
  <c r="BC112"/>
  <c r="AV112"/>
  <c r="BC120"/>
  <c r="AV120"/>
  <c r="BC128"/>
  <c r="AV128"/>
  <c r="BC154"/>
  <c r="AV154"/>
  <c r="BC144"/>
  <c r="AV144"/>
  <c r="AV277"/>
  <c r="BC277"/>
  <c r="BC308"/>
  <c r="AV308"/>
  <c r="BC330"/>
  <c r="AV330"/>
  <c r="L315"/>
  <c r="L44" i="2" s="1"/>
  <c r="BF317" i="6"/>
  <c r="BC220"/>
  <c r="AV220"/>
  <c r="AX261"/>
  <c r="AV261" s="1"/>
  <c r="BI261"/>
  <c r="AC261" s="1"/>
  <c r="BF303"/>
  <c r="L302"/>
  <c r="L42" i="2" s="1"/>
  <c r="AX337" i="6"/>
  <c r="BC337" s="1"/>
  <c r="BI337"/>
  <c r="AC337" s="1"/>
  <c r="AV161"/>
  <c r="AV36"/>
  <c r="AV204"/>
  <c r="H322"/>
  <c r="I46" i="2" s="1"/>
  <c r="AU339" i="6"/>
  <c r="AU354"/>
  <c r="BC63"/>
  <c r="AU229"/>
  <c r="J339"/>
  <c r="K48" i="2" s="1"/>
  <c r="N48" s="1"/>
  <c r="J318" i="6"/>
  <c r="K45" i="2" s="1"/>
  <c r="N45" s="1"/>
  <c r="J13"/>
  <c r="BC35" i="6"/>
  <c r="AV35"/>
  <c r="J207"/>
  <c r="K30" i="2" s="1"/>
  <c r="N30" s="1"/>
  <c r="AL208" i="6"/>
  <c r="AU207" s="1"/>
  <c r="J145"/>
  <c r="K23" i="2" s="1"/>
  <c r="N23" s="1"/>
  <c r="AL146" i="6"/>
  <c r="AU145" s="1"/>
  <c r="AX65"/>
  <c r="I65"/>
  <c r="I64" s="1"/>
  <c r="J19" i="2" s="1"/>
  <c r="AL144" i="6"/>
  <c r="AU143" s="1"/>
  <c r="J143"/>
  <c r="K22" i="2" s="1"/>
  <c r="N22" s="1"/>
  <c r="BC168" i="6"/>
  <c r="AV168"/>
  <c r="BC254"/>
  <c r="AV254"/>
  <c r="BC259"/>
  <c r="AV259"/>
  <c r="AL312"/>
  <c r="AU311" s="1"/>
  <c r="J311"/>
  <c r="K43" i="2" s="1"/>
  <c r="N43" s="1"/>
  <c r="AL220" i="6"/>
  <c r="AU219" s="1"/>
  <c r="J219"/>
  <c r="K31" i="2" s="1"/>
  <c r="N31" s="1"/>
  <c r="BF271" i="6"/>
  <c r="L270"/>
  <c r="L36" i="2" s="1"/>
  <c r="BC284" i="6"/>
  <c r="AV284"/>
  <c r="BC296"/>
  <c r="AV296"/>
  <c r="AX213"/>
  <c r="BI213"/>
  <c r="AE213" s="1"/>
  <c r="BC238"/>
  <c r="AV238"/>
  <c r="BC249"/>
  <c r="AV249"/>
  <c r="AX278"/>
  <c r="AV278" s="1"/>
  <c r="BI278"/>
  <c r="BC299"/>
  <c r="AV299"/>
  <c r="BF350"/>
  <c r="L349"/>
  <c r="L50" i="2" s="1"/>
  <c r="I207" i="6"/>
  <c r="J30" i="2" s="1"/>
  <c r="BI174" i="6"/>
  <c r="AC174" s="1"/>
  <c r="H37"/>
  <c r="I15" i="2" s="1"/>
  <c r="J136" i="6"/>
  <c r="K21" i="2" s="1"/>
  <c r="N21" s="1"/>
  <c r="H212" i="6"/>
  <c r="H207" s="1"/>
  <c r="I30" i="2" s="1"/>
  <c r="I337" i="6"/>
  <c r="I334" s="1"/>
  <c r="J47" i="2" s="1"/>
  <c r="L297" i="6"/>
  <c r="L41" i="2" s="1"/>
  <c r="J302" i="6"/>
  <c r="K42" i="2" s="1"/>
  <c r="N42" s="1"/>
  <c r="AV65" i="6" l="1"/>
  <c r="BC65"/>
  <c r="AV212"/>
  <c r="BC212"/>
  <c r="BC352"/>
  <c r="AV216"/>
  <c r="BC216"/>
  <c r="K40" i="2"/>
  <c r="N40" s="1"/>
  <c r="J282" i="6"/>
  <c r="BC278"/>
  <c r="H12"/>
  <c r="I13" i="2"/>
  <c r="L40"/>
  <c r="L282" i="6"/>
  <c r="C29" i="5"/>
  <c r="AU13" i="6"/>
  <c r="J40" i="2"/>
  <c r="I282" i="6"/>
  <c r="H282"/>
  <c r="BC261"/>
  <c r="L12"/>
  <c r="AV213"/>
  <c r="BC213"/>
  <c r="AV281"/>
  <c r="BC281"/>
  <c r="AV312"/>
  <c r="BC312"/>
  <c r="K13" i="2"/>
  <c r="N13" s="1"/>
  <c r="K53" s="1"/>
  <c r="J12" i="6"/>
  <c r="J360"/>
  <c r="AV166"/>
  <c r="BC166"/>
  <c r="I12"/>
  <c r="I12" i="2" l="1"/>
  <c r="I12" i="3"/>
  <c r="J39" i="2"/>
  <c r="J13" i="3"/>
  <c r="K39" i="2"/>
  <c r="P39" s="1"/>
  <c r="K13" i="3"/>
  <c r="P13" s="1"/>
  <c r="K12" i="2"/>
  <c r="P12" s="1"/>
  <c r="K12" i="3"/>
  <c r="P12" s="1"/>
  <c r="J12" i="2"/>
  <c r="J12" i="3"/>
  <c r="I13"/>
  <c r="I39" i="2"/>
  <c r="L12"/>
  <c r="L12" i="3"/>
  <c r="L39" i="2"/>
  <c r="L13" i="3"/>
  <c r="F29" i="5"/>
  <c r="I28"/>
  <c r="I29" l="1"/>
  <c r="K14" i="3"/>
</calcChain>
</file>

<file path=xl/sharedStrings.xml><?xml version="1.0" encoding="utf-8"?>
<sst xmlns="http://schemas.openxmlformats.org/spreadsheetml/2006/main" count="5910" uniqueCount="939">
  <si>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</si>
  <si>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</si>
  <si>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</si>
  <si>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</si>
  <si>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</si>
  <si>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</si>
  <si>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</si>
  <si>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</si>
  <si>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</si>
  <si>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</si>
  <si>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</si>
  <si>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</si>
  <si>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</si>
  <si>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</si>
  <si>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</si>
  <si>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</si>
  <si>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</si>
  <si>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</si>
  <si>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</si>
  <si>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</si>
  <si>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</si>
  <si>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</si>
  <si>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</si>
  <si>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</si>
  <si>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</si>
  <si>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</si>
  <si>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</si>
  <si>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</si>
  <si>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</si>
  <si>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</si>
  <si>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</si>
  <si>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</si>
  <si>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</si>
  <si>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</si>
  <si>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</si>
  <si>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</si>
  <si>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</si>
  <si>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</si>
  <si>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</si>
  <si>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</si>
  <si>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</si>
  <si>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</si>
  <si>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</si>
  <si>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</si>
  <si>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</si>
  <si>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</si>
  <si>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</si>
  <si>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</si>
  <si>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</si>
  <si>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</si>
  <si>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</si>
  <si>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</si>
  <si>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</si>
  <si>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</si>
  <si>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</si>
  <si>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</si>
  <si>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</si>
  <si>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</si>
  <si>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</si>
  <si>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</si>
  <si>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</si>
  <si>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</si>
  <si>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</si>
  <si>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</si>
  <si>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</si>
  <si>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</si>
  <si>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</si>
  <si>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</si>
  <si>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</si>
  <si>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</si>
  <si>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</si>
  <si>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</si>
  <si>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</si>
  <si>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</si>
  <si>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</si>
  <si>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</si>
  <si>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</si>
  <si>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</si>
  <si>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</si>
  <si>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</si>
  <si>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</si>
  <si>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</si>
  <si>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</si>
  <si>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</si>
  <si>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</si>
  <si>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</si>
  <si>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</si>
  <si>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</si>
  <si>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</si>
  <si>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</si>
  <si>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</si>
  <si>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</si>
  <si>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</si>
  <si>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</si>
  <si>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</si>
  <si>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</si>
  <si>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</si>
  <si>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</si>
  <si>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</si>
  <si>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</si>
  <si>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</si>
  <si>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</si>
  <si>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</si>
  <si>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</si>
  <si>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</si>
  <si>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</si>
  <si>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</si>
  <si>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</si>
  <si>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</si>
  <si>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</si>
  <si>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</si>
  <si>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</si>
  <si>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</si>
  <si>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</si>
  <si>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</si>
  <si>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</si>
  <si>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</si>
  <si>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</si>
  <si>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</si>
  <si>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</si>
  <si>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</si>
  <si>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</si>
  <si>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</si>
  <si>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</si>
  <si>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</si>
  <si>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</si>
  <si>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</si>
  <si>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</si>
  <si>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</si>
  <si>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</si>
  <si>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</si>
  <si>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</si>
  <si>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</si>
  <si>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</si>
  <si>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</si>
  <si>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</si>
  <si>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</si>
  <si>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</si>
  <si>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</si>
  <si>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</si>
  <si>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</si>
  <si>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</si>
  <si>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</si>
  <si>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</si>
  <si>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</si>
  <si>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</si>
  <si>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</si>
  <si>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</si>
  <si>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</si>
  <si>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</si>
  <si>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</si>
  <si>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</si>
  <si>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</si>
  <si>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</si>
  <si>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</si>
  <si>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</si>
  <si>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</si>
  <si>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</si>
  <si>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</si>
  <si>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</si>
  <si>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</si>
  <si>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</si>
  <si>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</si>
  <si>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</si>
  <si>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</si>
  <si>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</si>
  <si>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</si>
  <si>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</si>
  <si>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</si>
  <si>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</si>
  <si>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</si>
  <si>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</si>
  <si>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</si>
  <si>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</si>
  <si>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</si>
  <si>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</si>
  <si>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</si>
  <si>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</si>
  <si>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</si>
  <si>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</si>
  <si>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</si>
  <si>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</si>
  <si>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</si>
  <si>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</si>
  <si>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</si>
  <si>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</si>
  <si>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</si>
  <si>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</si>
  <si>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</si>
  <si>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</si>
  <si>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</si>
  <si>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</si>
  <si>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</si>
  <si>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</si>
  <si>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</si>
  <si>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</si>
  <si>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</si>
  <si>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</si>
  <si>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</si>
  <si>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</si>
  <si>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</si>
  <si>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</si>
  <si>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</si>
  <si>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</si>
  <si>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</si>
  <si>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</si>
  <si>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</si>
  <si>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</si>
  <si>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</si>
  <si>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</si>
  <si>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</si>
  <si>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</si>
  <si>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</si>
  <si>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</si>
  <si>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</si>
  <si>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</si>
  <si>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</si>
  <si>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</si>
  <si>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</si>
  <si>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</si>
  <si>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</si>
  <si>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</si>
  <si>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</si>
  <si>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Kód</t>
  </si>
  <si>
    <t>100VD</t>
  </si>
  <si>
    <t>10001</t>
  </si>
  <si>
    <t>10003</t>
  </si>
  <si>
    <t>10004</t>
  </si>
  <si>
    <t>10006</t>
  </si>
  <si>
    <t>10007</t>
  </si>
  <si>
    <t>10008</t>
  </si>
  <si>
    <t>10009</t>
  </si>
  <si>
    <t>100010</t>
  </si>
  <si>
    <t>100011</t>
  </si>
  <si>
    <t>113202111R00</t>
  </si>
  <si>
    <t>113151317R00</t>
  </si>
  <si>
    <t>113107633R00</t>
  </si>
  <si>
    <t>113106121R00</t>
  </si>
  <si>
    <t>111202215R00</t>
  </si>
  <si>
    <t>112101113R00</t>
  </si>
  <si>
    <t>121101101R00</t>
  </si>
  <si>
    <t>122201101R00</t>
  </si>
  <si>
    <t>122201109R00</t>
  </si>
  <si>
    <t>131201110R00</t>
  </si>
  <si>
    <t>131201119R00</t>
  </si>
  <si>
    <t>162201102R00</t>
  </si>
  <si>
    <t>167101101R00</t>
  </si>
  <si>
    <t>162201452R00</t>
  </si>
  <si>
    <t>162201432R00</t>
  </si>
  <si>
    <t>162201442R00</t>
  </si>
  <si>
    <t>162702292R00</t>
  </si>
  <si>
    <t>174201202R00</t>
  </si>
  <si>
    <t>174101102R00</t>
  </si>
  <si>
    <t>583312024</t>
  </si>
  <si>
    <t>59691019.A</t>
  </si>
  <si>
    <t>771</t>
  </si>
  <si>
    <t>771990010RA0</t>
  </si>
  <si>
    <t>180402111R00</t>
  </si>
  <si>
    <t>184802111R00</t>
  </si>
  <si>
    <t>183403153R00</t>
  </si>
  <si>
    <t>00572400</t>
  </si>
  <si>
    <t>25234002.A</t>
  </si>
  <si>
    <t>181301102R00</t>
  </si>
  <si>
    <t>10364200</t>
  </si>
  <si>
    <t>183403131R00</t>
  </si>
  <si>
    <t>182951111RT2</t>
  </si>
  <si>
    <t>184921093R00</t>
  </si>
  <si>
    <t>10391100</t>
  </si>
  <si>
    <t>183205121R00</t>
  </si>
  <si>
    <t>185804312R00</t>
  </si>
  <si>
    <t>185851111R00</t>
  </si>
  <si>
    <t>184102211R00</t>
  </si>
  <si>
    <t>183101314R00</t>
  </si>
  <si>
    <t>183204112R00</t>
  </si>
  <si>
    <t>185804111R00</t>
  </si>
  <si>
    <t>183103121R00</t>
  </si>
  <si>
    <t>30042</t>
  </si>
  <si>
    <t>30041</t>
  </si>
  <si>
    <t>30040</t>
  </si>
  <si>
    <t>30039</t>
  </si>
  <si>
    <t>30038</t>
  </si>
  <si>
    <t>30037</t>
  </si>
  <si>
    <t>30036</t>
  </si>
  <si>
    <t>30035</t>
  </si>
  <si>
    <t>30034</t>
  </si>
  <si>
    <t>30033</t>
  </si>
  <si>
    <t>30032</t>
  </si>
  <si>
    <t>30031</t>
  </si>
  <si>
    <t>30030</t>
  </si>
  <si>
    <t>30029</t>
  </si>
  <si>
    <t>30028</t>
  </si>
  <si>
    <t>30027</t>
  </si>
  <si>
    <t>30026</t>
  </si>
  <si>
    <t>30025</t>
  </si>
  <si>
    <t>30024</t>
  </si>
  <si>
    <t>30023</t>
  </si>
  <si>
    <t>30022</t>
  </si>
  <si>
    <t>30021</t>
  </si>
  <si>
    <t>30020</t>
  </si>
  <si>
    <t>30019</t>
  </si>
  <si>
    <t>30018</t>
  </si>
  <si>
    <t>30017</t>
  </si>
  <si>
    <t>30016</t>
  </si>
  <si>
    <t>30015</t>
  </si>
  <si>
    <t>30014</t>
  </si>
  <si>
    <t>30013</t>
  </si>
  <si>
    <t>30012</t>
  </si>
  <si>
    <t>30011</t>
  </si>
  <si>
    <t>30010</t>
  </si>
  <si>
    <t>30009</t>
  </si>
  <si>
    <t>30008</t>
  </si>
  <si>
    <t>30007</t>
  </si>
  <si>
    <t>30006</t>
  </si>
  <si>
    <t>30005</t>
  </si>
  <si>
    <t>30004</t>
  </si>
  <si>
    <t>30003</t>
  </si>
  <si>
    <t>30002</t>
  </si>
  <si>
    <t>30001</t>
  </si>
  <si>
    <t>39999</t>
  </si>
  <si>
    <t>275311711R00</t>
  </si>
  <si>
    <t>275351215R00</t>
  </si>
  <si>
    <t>275351216R00</t>
  </si>
  <si>
    <t>275313711R00</t>
  </si>
  <si>
    <t>348181111R00</t>
  </si>
  <si>
    <t>436234001</t>
  </si>
  <si>
    <t>564231111R00</t>
  </si>
  <si>
    <t>564851111RT2</t>
  </si>
  <si>
    <t>564851111R00</t>
  </si>
  <si>
    <t>568111112R00</t>
  </si>
  <si>
    <t>69365041</t>
  </si>
  <si>
    <t>577132111RT2</t>
  </si>
  <si>
    <t>573211111R00</t>
  </si>
  <si>
    <t>577114116RT2</t>
  </si>
  <si>
    <t>573191111R00</t>
  </si>
  <si>
    <t>596215040R00</t>
  </si>
  <si>
    <t>594000011R00</t>
  </si>
  <si>
    <t>592451170</t>
  </si>
  <si>
    <t>596291113R00</t>
  </si>
  <si>
    <t>596811111RT2</t>
  </si>
  <si>
    <t>596811111R00</t>
  </si>
  <si>
    <t>639571210R00</t>
  </si>
  <si>
    <t>721</t>
  </si>
  <si>
    <t>721001R00</t>
  </si>
  <si>
    <t>721242115R00</t>
  </si>
  <si>
    <t>721100012RAA</t>
  </si>
  <si>
    <t>998721201R00</t>
  </si>
  <si>
    <t>762</t>
  </si>
  <si>
    <t>762520020RAA</t>
  </si>
  <si>
    <t>762712130R00</t>
  </si>
  <si>
    <t>762712120R00</t>
  </si>
  <si>
    <t>762712110R00</t>
  </si>
  <si>
    <t>60512121</t>
  </si>
  <si>
    <t>762085151R00</t>
  </si>
  <si>
    <t>762395000R00</t>
  </si>
  <si>
    <t>762911111R00</t>
  </si>
  <si>
    <t>998762202R00</t>
  </si>
  <si>
    <t>764</t>
  </si>
  <si>
    <t>764252604R00</t>
  </si>
  <si>
    <t>764551603R00</t>
  </si>
  <si>
    <t>764900021R00</t>
  </si>
  <si>
    <t>764291420R00</t>
  </si>
  <si>
    <t>764259431R00</t>
  </si>
  <si>
    <t>764252634R00</t>
  </si>
  <si>
    <t>764530420R00</t>
  </si>
  <si>
    <t>998764201R00</t>
  </si>
  <si>
    <t>765</t>
  </si>
  <si>
    <t>765799242R00</t>
  </si>
  <si>
    <t>60512601</t>
  </si>
  <si>
    <t>765901122R00</t>
  </si>
  <si>
    <t>765511110RT1</t>
  </si>
  <si>
    <t>998765201R00</t>
  </si>
  <si>
    <t>767</t>
  </si>
  <si>
    <t>767000001</t>
  </si>
  <si>
    <t>767000002</t>
  </si>
  <si>
    <t>767000003</t>
  </si>
  <si>
    <t>767000004</t>
  </si>
  <si>
    <t>767000005</t>
  </si>
  <si>
    <t>767941001</t>
  </si>
  <si>
    <t>767995105R00</t>
  </si>
  <si>
    <t>13358528</t>
  </si>
  <si>
    <t>767995102R00</t>
  </si>
  <si>
    <t>13756545</t>
  </si>
  <si>
    <t>767995104R00</t>
  </si>
  <si>
    <t>15411745</t>
  </si>
  <si>
    <t>767995106R00</t>
  </si>
  <si>
    <t>767995107R00</t>
  </si>
  <si>
    <t>13384340</t>
  </si>
  <si>
    <t>998767201R00</t>
  </si>
  <si>
    <t>783</t>
  </si>
  <si>
    <t>783626211R00</t>
  </si>
  <si>
    <t>783120014RAC</t>
  </si>
  <si>
    <t>899331111R00</t>
  </si>
  <si>
    <t>899332111R00</t>
  </si>
  <si>
    <t>894412311RA0</t>
  </si>
  <si>
    <t>917862111RT5</t>
  </si>
  <si>
    <t>916581112R00</t>
  </si>
  <si>
    <t>28324415</t>
  </si>
  <si>
    <t>965042241RT6</t>
  </si>
  <si>
    <t>H22</t>
  </si>
  <si>
    <t>998225111R00</t>
  </si>
  <si>
    <t>S</t>
  </si>
  <si>
    <t>979082318R00</t>
  </si>
  <si>
    <t>979082119R00</t>
  </si>
  <si>
    <t>979093111R00</t>
  </si>
  <si>
    <t>979990001R00</t>
  </si>
  <si>
    <t>10002</t>
  </si>
  <si>
    <t>130901122RT3</t>
  </si>
  <si>
    <t>M21</t>
  </si>
  <si>
    <t>210220002RT2</t>
  </si>
  <si>
    <t>Zkrácený popis / Varianta</t>
  </si>
  <si>
    <t>ETAPA I</t>
  </si>
  <si>
    <t>VRN</t>
  </si>
  <si>
    <t>Zařízení staveniště</t>
  </si>
  <si>
    <t>Provoz zařízení staveniště</t>
  </si>
  <si>
    <t>Odstranění zařízení staveniště</t>
  </si>
  <si>
    <t>Geodetické a projektové práce</t>
  </si>
  <si>
    <t>Práce během výstavby a přidružené práce</t>
  </si>
  <si>
    <t>Vytýčení inženýrských sítí</t>
  </si>
  <si>
    <t>Oprava stávajícího chodníku v případě poškození během provádění stavby</t>
  </si>
  <si>
    <t>Ochrana stávajících stromů a kořenového systému před poškozením</t>
  </si>
  <si>
    <t>Mimostaveništní doprava</t>
  </si>
  <si>
    <t>Rozpočtová rezerva na elektromontáže a případný posun VO</t>
  </si>
  <si>
    <t>Přípravné a přidružené práce</t>
  </si>
  <si>
    <t>Vytrhání obrub obrubníků silničních</t>
  </si>
  <si>
    <t>Fréz.živič.krytu nad 500 m2, s překážkami, tl.8 cm</t>
  </si>
  <si>
    <t>Odstranění podkladu nad 50 m2,kam.drcené tl.33 cm</t>
  </si>
  <si>
    <t>Rozebrání dlažeb z betonových dlaždic na sucho</t>
  </si>
  <si>
    <t>Odfrézování pařezu, dřevina tvrdá, hl.20, D 50 cm</t>
  </si>
  <si>
    <t>Kácení stromů listnatých průměru 40 cm, svah 1:5</t>
  </si>
  <si>
    <t>Odkopávky a prokopávky</t>
  </si>
  <si>
    <t>Sejmutí ornice s přemístěním do 50 m</t>
  </si>
  <si>
    <t>Odkopávky nezapažené v hor. 3 do 100 m3</t>
  </si>
  <si>
    <t>Příplatek za lepivost - odkopávky v hor. 3</t>
  </si>
  <si>
    <t>Hloubené vykopávky</t>
  </si>
  <si>
    <t>Hloubení nezapaž. jam hor.3 do 50 m3, STROJNĚ</t>
  </si>
  <si>
    <t>Příplatek za lepivost - hloubení nezap.jam v hor.3</t>
  </si>
  <si>
    <t>Přemístění výkopku</t>
  </si>
  <si>
    <t>Vodorovné přemístění výkopku z hor.1-4 do 50 m</t>
  </si>
  <si>
    <t>Nakládání výkopku z hor.1-4 v množství do 100 m3</t>
  </si>
  <si>
    <t>Vodorovné přemístění pařezů  D 50 cm do 2000 m</t>
  </si>
  <si>
    <t>Vod.přemístění větví listnatých, D 50 cm do 2000 m</t>
  </si>
  <si>
    <t>Vod.přemístění kmenů listnatých, D 50 cm do 2000 m</t>
  </si>
  <si>
    <t>Poplatek za skládku: větve a kulatiny</t>
  </si>
  <si>
    <t>Konstrukce ze zemin</t>
  </si>
  <si>
    <t>Zásyp jam po pařezech D 50 cm</t>
  </si>
  <si>
    <t>Zásyp ruční se zhutněním</t>
  </si>
  <si>
    <t>Kamenivo těžené frakce  0/4 Moravskosl. kraj</t>
  </si>
  <si>
    <t>Recyklovaná zemina</t>
  </si>
  <si>
    <t>Podlahy z dlaždic</t>
  </si>
  <si>
    <t>Vybourání keramické nebo teracové dlažby</t>
  </si>
  <si>
    <t>Povrchové úpravy terénu</t>
  </si>
  <si>
    <t>Založení trávníku parkového výsevem v rovině</t>
  </si>
  <si>
    <t>Chem. odplevelení před založ. postřikem, v rovině</t>
  </si>
  <si>
    <t>Obdělání půdy hrabáním, v rovině</t>
  </si>
  <si>
    <t>Směs travní parková I. běžná zátěž</t>
  </si>
  <si>
    <t>herbicid totální po 20 litrech</t>
  </si>
  <si>
    <t>Rozprostření ornice, rovina, tl. 10-15 cm,do 500m2</t>
  </si>
  <si>
    <t>Ornice pro pozemkové úpravy</t>
  </si>
  <si>
    <t>Obdělání půdy rytím do 20 cm hor. 1 až 2, v rovině</t>
  </si>
  <si>
    <t>Položení netkané textilie bez upevnění</t>
  </si>
  <si>
    <t>včetně dodávky netkané zahradnické textilie</t>
  </si>
  <si>
    <t>Mulčování rostlin tl. do 0,1 m rovina</t>
  </si>
  <si>
    <t>Kůra mulčovací</t>
  </si>
  <si>
    <t>Založení záhonu v rovině/svah 1 : 5, starý trávník</t>
  </si>
  <si>
    <t>Zalití rostlin vodou plochy nad 20 m2</t>
  </si>
  <si>
    <t>Dovoz vody pro zálivku rostlin do 6 km</t>
  </si>
  <si>
    <t>Výsadba keře bez balu výšky do 1 m, v rovině</t>
  </si>
  <si>
    <t>Hloub. jamek s výměnou 100% půdy do 0,125 m3, 1:5</t>
  </si>
  <si>
    <t>Výsadba trvalek</t>
  </si>
  <si>
    <t>Ošetření vysázených květin v rovině</t>
  </si>
  <si>
    <t>Kopání jamek D 25cm,hl.25cm,zabuř.zem.1,2,3,park</t>
  </si>
  <si>
    <t>PENISSETUM ALUPECUROIDES JAPONICUM - TRAVINA K9, E3</t>
  </si>
  <si>
    <t>ECHINACEA PURPUREA - TRVALKA VYŠŠÍ K9, D3</t>
  </si>
  <si>
    <t>PANICUM VIRGATUM STRICTUM - TRAVINA - ČERVENÉ KONCE LISTŮ K9,C3</t>
  </si>
  <si>
    <t>ACHILLEA FILIPENDULINA CREDO - ŘEBŘÍČEK ŽLUTÝ K9, B3</t>
  </si>
  <si>
    <t>HEMEROCALLIS LILIOASPHODEUS - DENIVKA K9, A3</t>
  </si>
  <si>
    <t>SALVIA NEMOROSA - ČEMEŘICE K9, F2</t>
  </si>
  <si>
    <t>ASTILBE ARENDSII - ČECHRAVA TRVALKA K9, E2</t>
  </si>
  <si>
    <t>ASTER DUMOSUS - ASTRA K9, D2</t>
  </si>
  <si>
    <t>ALLIUM GIGANTEUM - ČESNEK OKRASNÝ CIBULE, C2</t>
  </si>
  <si>
    <t>PENISSETUM ALUPECUROIDES JAPONICUM - TRAVINA NIŽŠÍ K9,B2</t>
  </si>
  <si>
    <t>DESCHAMPSIA CAESPITOSA SCHOTTLAND - TRAVINA K9, A2</t>
  </si>
  <si>
    <t>VERBENA BONARIENSIS - VERBENA TRVALKA K9, B2</t>
  </si>
  <si>
    <t>MISCANTHUS SINENSIS GRACILLIMUS - OZDOBNICE TRAVINA K9,A1</t>
  </si>
  <si>
    <t>SATUREJA MONTANA - SATUREJKA K9, Oe</t>
  </si>
  <si>
    <t>ORIGANUM VULGARE - OREGÁNO K9, Ne</t>
  </si>
  <si>
    <t>SALVIA PRATENSIS SVAM LAKE - ŠALVĚJ K9, Me</t>
  </si>
  <si>
    <t>PAPAVER ORIENTALE - MÁK K9, Le</t>
  </si>
  <si>
    <t>PETROSELINUM CRISPUM - PETRŽEL K9, Ke</t>
  </si>
  <si>
    <t>ALLIUM SCHOENOPRASUM - PAŽITKA K9, Je</t>
  </si>
  <si>
    <t>RHEUM REBARBORUM - REBARBORA K9, Ie</t>
  </si>
  <si>
    <t>MENTHA AQUATICA - MÁTA K9, He</t>
  </si>
  <si>
    <t>FRAGARIA VESCA RUJANA - JADHODNÍK K9, Ge</t>
  </si>
  <si>
    <t>BUDDELEIA DAVIDII - MOTÝLÍ KEŘ 40-60cm, Fe</t>
  </si>
  <si>
    <t>VERONICA SERPHYFOLIUM - ROZRAZIL K9, Ee</t>
  </si>
  <si>
    <t>THYMUS VULGARIS - TYMIÁN K9, De</t>
  </si>
  <si>
    <t>THYMUS PREACOX COCCINEUS - TYMIÁN K9, Ce</t>
  </si>
  <si>
    <t>SALVIA OFFICINALIS - ŠALVĚJ K9, Be</t>
  </si>
  <si>
    <t>LEVANDULA OFFICINALIS - LEVANDULE K9, Ae</t>
  </si>
  <si>
    <t>FRAGARIA VESCA TUBBY RED - JAHODNÍK K9, Ob</t>
  </si>
  <si>
    <t>RHEUM RHABARBARUM - REBARBORA K9, Nb</t>
  </si>
  <si>
    <t>THYMUS VULGARIS FREDO - TYMIÁN K9, Mb</t>
  </si>
  <si>
    <t>STEVIA REREBAURDIANA SWEETY - STÉVIE K9, Lb</t>
  </si>
  <si>
    <t>PETROSELINUM CRISPUM - PETRŽEL K9, Kb</t>
  </si>
  <si>
    <t>ORIGANUM VULGARE AROMATA - OREGANO K9, Ib</t>
  </si>
  <si>
    <t>MENTHA PIPERITA AFTER EIGHT - MÁTA ČOKOLÁDOVÁ K9, Hb</t>
  </si>
  <si>
    <t>MENTHA PIPERITA ORANGE - MÁTA POMERANČOVÁ K9, Gb</t>
  </si>
  <si>
    <t>MENTHA PIPERITA LEMON - MÁTA CITRÓNOVÁ K9</t>
  </si>
  <si>
    <t>MELISA OFFICINALIS - MEDUŇKA K9, Fb</t>
  </si>
  <si>
    <t>MAJORANA HORTENZIS VENEZIA - MAJORÁNKA K9, Eb</t>
  </si>
  <si>
    <t>LEVISTICUM OFFICINALE - LIBEČEK K9, Db</t>
  </si>
  <si>
    <t>ALLIUM URSINUM GISMO - MEDVĚDÍ ČESNEK K9, Cb</t>
  </si>
  <si>
    <t>ANETHUM GRAVEOLENS - KOPR K9, Bb</t>
  </si>
  <si>
    <t>ALLIUM SCHOENOPRASUM - PAŽITKA K9, Ab</t>
  </si>
  <si>
    <t>Rezerva na uhynulé rostliny</t>
  </si>
  <si>
    <t>Základy</t>
  </si>
  <si>
    <t>Beton základ. patek prokl. kamenem C 20/25</t>
  </si>
  <si>
    <t>Bednění stěn základových patek - zřízení</t>
  </si>
  <si>
    <t>Bednění stěn základových patek - odstranění</t>
  </si>
  <si>
    <t>Beton základových patek prostý C 25/30</t>
  </si>
  <si>
    <t>Stěny a příčky</t>
  </si>
  <si>
    <t>Zábradlí dřevěné hoblované trvalé bez výplně</t>
  </si>
  <si>
    <t>Schodiště</t>
  </si>
  <si>
    <t>Stupnice z přírodního kamene v=150mm, š=1000mm, hl=350mm</t>
  </si>
  <si>
    <t>Podkladní vrstvy komunikací, letišť a ploch</t>
  </si>
  <si>
    <t>Podklad ze štěrkopísku po zhutnění tloušťky 10 cm</t>
  </si>
  <si>
    <t xml:space="preserve">frakce 8-16_x000D_
</t>
  </si>
  <si>
    <t>Podklad ze štěrkodrti po zhutnění tloušťky 15 cm</t>
  </si>
  <si>
    <t>štěrkodrť frakce 0-32 mm</t>
  </si>
  <si>
    <t>frakce 32-64</t>
  </si>
  <si>
    <t>Zřízení vrstvy z geotextilie skl.do 1:5,š.do 7,5 m</t>
  </si>
  <si>
    <t>Geotextilie netkaná 200g 2x50 m</t>
  </si>
  <si>
    <t>Kryty pozemních komunikací, letišť a ploch z kameniva nebo živičné</t>
  </si>
  <si>
    <t>Beton asfalt. ACO 11+ obrusný, š.nad 3 m, tl. 4 cm</t>
  </si>
  <si>
    <t>plochy 201-1000 m2</t>
  </si>
  <si>
    <t>Postřik živičný spojovací z asfaltu 0,5-0,7 kg/m2</t>
  </si>
  <si>
    <t>Beton asf.ACL 16 S,modif.ložný š. do 3 m, tl. 7 cm</t>
  </si>
  <si>
    <t>Nátěr infiltrační kationaktivní emulzí 1kg/m2</t>
  </si>
  <si>
    <t>Kryty pozemních komunikací, letišť a ploch dlážděných (předlažby)</t>
  </si>
  <si>
    <t>Kladení zámkové dlažby tl. 8 cm do drtě tl. 4 cm</t>
  </si>
  <si>
    <t>Dodávka a montáž žlabu odvodňovacího 100 S, C250 šířka 130 mm, stavební výška 130 mm</t>
  </si>
  <si>
    <t>světlá výška 100mm</t>
  </si>
  <si>
    <t>Dlažba zámková 20x10x8 cm přírodní</t>
  </si>
  <si>
    <t>Řezání zámkové dlažby tl. 80 mm</t>
  </si>
  <si>
    <t>Kladení dlaždic kom.pro pěší, lože z kameniva těž.</t>
  </si>
  <si>
    <t>včetně dlaždic betonových 30/30/3,3 cm</t>
  </si>
  <si>
    <t>Podlahy a podlahové konstrukce</t>
  </si>
  <si>
    <t>Kačírek pro okapový chodník tl. 100 mm</t>
  </si>
  <si>
    <t>Vnitřní kanalizace</t>
  </si>
  <si>
    <t>Napojení potrubí na stávající kanalizaci</t>
  </si>
  <si>
    <t>Lapač střešních splavenin litinový DN 100</t>
  </si>
  <si>
    <t>Kanalizace vnitřní, PVC, D 125 mm, zemní práce</t>
  </si>
  <si>
    <t>rýha 30 x 40 cm</t>
  </si>
  <si>
    <t>Přesun hmot pro vnitřní kanalizaci, výšky do 6 m</t>
  </si>
  <si>
    <t>Konstrukce tesařské</t>
  </si>
  <si>
    <t>Podlaha z fošen hrubých na sraz</t>
  </si>
  <si>
    <t>fošny tloušťky 40 mm</t>
  </si>
  <si>
    <t>Montáž vázaných konstrukcí hraněných do 288 cm2</t>
  </si>
  <si>
    <t>Montáž vázaných konstrukcí hraněných do 224 cm2</t>
  </si>
  <si>
    <t>Montáž vázaných konstrukcí hraněných do 120 cm2</t>
  </si>
  <si>
    <t>Řezivo jehličnaté - hranoly - jak. I L=4-6 m</t>
  </si>
  <si>
    <t>Hoblování řeziva</t>
  </si>
  <si>
    <t>Spojovací a ochranné prostředky pro střechy</t>
  </si>
  <si>
    <t>Impregnace řeziva máčením fugnicidním a insekticidním přípravkem</t>
  </si>
  <si>
    <t>Přesun hmot pro tesařské konstrukce, výšky do 12 m</t>
  </si>
  <si>
    <t>Konstrukce klempířské</t>
  </si>
  <si>
    <t>Žlab podokapní půlkulatý TiZn rš. 333 mm</t>
  </si>
  <si>
    <t>Svod z Ti Zn, kruhový, D 100 mm</t>
  </si>
  <si>
    <t>Okapový plech rš. 350 TiZn</t>
  </si>
  <si>
    <t>Podokapní žlab TiZn rš. 350mm</t>
  </si>
  <si>
    <t>Závětrná lišta z Ti Zn plechu, rš 330 mm</t>
  </si>
  <si>
    <t>Kotlík čtyřhran. pro žlaby Ti Zn 200x250x300 mm</t>
  </si>
  <si>
    <t>Čelo žlabu půlkulatého TiZn rš.333 mm</t>
  </si>
  <si>
    <t>Oplechování základového rámu Ti Zn plechu, rš 330 mm</t>
  </si>
  <si>
    <t>Přesun hmot pro klempířské konstr., výšky do 6 m</t>
  </si>
  <si>
    <t>Krytina tvrdá</t>
  </si>
  <si>
    <t>Montáž bednění z prken nad 10 m2</t>
  </si>
  <si>
    <t>Prkno, fošna SM/JD hoblované</t>
  </si>
  <si>
    <t>Fólie podstřešní paropropustná  D 140</t>
  </si>
  <si>
    <t>Krytina ze živičného šindele, jedn. bednění s lep.</t>
  </si>
  <si>
    <t>sklon do 25°</t>
  </si>
  <si>
    <t>Přesun hmot pro krytiny tvrdé, výšky do 6 m</t>
  </si>
  <si>
    <t>Konstrukce doplňkové stavební (zámečnické)</t>
  </si>
  <si>
    <t>D+M Stojan na kola, pro 5 kol</t>
  </si>
  <si>
    <t>D+M Venkovní odpakový koš se stříškou</t>
  </si>
  <si>
    <t>D+M Venkovní lavička</t>
  </si>
  <si>
    <t>Přesun betonových květináčů před budovu ZŠMA</t>
  </si>
  <si>
    <t>D+M Výuková tabule</t>
  </si>
  <si>
    <t>Nosné svary stropní konstr. nosníků tl. do 10 mm</t>
  </si>
  <si>
    <t>Výroba a montáž kov. atypických konstr. do 100 kg</t>
  </si>
  <si>
    <t>Ocel pásová jakost S235  70x4,0 mm</t>
  </si>
  <si>
    <t>Výroba a montáž kov. atypických konstr. do 10 kg</t>
  </si>
  <si>
    <t>Plech hladký jakost 11321.21  1,00x1000x2000 mm</t>
  </si>
  <si>
    <t>Výroba a montáž kov. atypických konstr. do 50 kg</t>
  </si>
  <si>
    <t>Profil L rovnoramenný S235 70x70x3 mm</t>
  </si>
  <si>
    <t>Výroba a montáž kov. atypických konstr. do 250 kg</t>
  </si>
  <si>
    <t>Výroba a montáž kov. atypických konstr. do 500 kg</t>
  </si>
  <si>
    <t>Tyč průřezu U 160, střední, jakost oceli S235</t>
  </si>
  <si>
    <t>Přesun hmot pro zámečnické konstr., výšky do 6 m</t>
  </si>
  <si>
    <t>Nátěry</t>
  </si>
  <si>
    <t>Nátěr truhlářských výrobků lazurovací 2x</t>
  </si>
  <si>
    <t>Nátěr OK lehkých "C" syntetický</t>
  </si>
  <si>
    <t>dvojnásobný krycí s 1x emailováním</t>
  </si>
  <si>
    <t>Ostatní konstrukce a práce na trubním vedení</t>
  </si>
  <si>
    <t>Výšková úprava šachty do 20 cm, zvýšení poklopu</t>
  </si>
  <si>
    <t>Výšková úprava šachty do 20 cm, snížení poklopu</t>
  </si>
  <si>
    <t>Šachta, DN 1000 stěna 120 mm, dno přímé hloubka 1000mm</t>
  </si>
  <si>
    <t>Doplňující konstrukce a práce na pozemních komunikacích a zpevněných plochách</t>
  </si>
  <si>
    <t>Osazení stojat. obrub.bet. s opěrou,lože z C 12/15</t>
  </si>
  <si>
    <t>včetně obrubníku ABO 100/10/25</t>
  </si>
  <si>
    <t>Osazení plast. zahradního obrubníku zapuštěného</t>
  </si>
  <si>
    <t>Obrubník zahradní plastový v=80mm dl. 12 m</t>
  </si>
  <si>
    <t>Bourání konstrukcí</t>
  </si>
  <si>
    <t>Bourání mazanin betonových tl. nad 10 cm, nad 4 m2</t>
  </si>
  <si>
    <t>pneumat. kladivo, tl. mazaniny nad 20 cm</t>
  </si>
  <si>
    <t>Komunikace pozemní a letiště</t>
  </si>
  <si>
    <t>Přesun hmot, pozemní komunikace, kryt živičný</t>
  </si>
  <si>
    <t>Přesuny sutí</t>
  </si>
  <si>
    <t>Vodorovná doprava suti a hmot po suchu do 6000 m</t>
  </si>
  <si>
    <t>Příplatek k přesunu suti za každých dalších 1000 m</t>
  </si>
  <si>
    <t>Uložení suti na skládku bez zhutnění</t>
  </si>
  <si>
    <t>Poplatek za skládku stavební suti Holasovice</t>
  </si>
  <si>
    <t>ETAPA II</t>
  </si>
  <si>
    <t>Dočasné dopravní značení</t>
  </si>
  <si>
    <t>Bourání konstrukcí z betonu prokl.kam.ve vykopávk.</t>
  </si>
  <si>
    <t>bagrem s kladivem</t>
  </si>
  <si>
    <t>Elektromontáže</t>
  </si>
  <si>
    <t>Vedení uzemňovací na povrchu FeZn D 10 mm</t>
  </si>
  <si>
    <t>včetně drátu FeZn 10 mm</t>
  </si>
  <si>
    <t>Doba výstavby:</t>
  </si>
  <si>
    <t>Začátek výstavby:</t>
  </si>
  <si>
    <t>Konec výstavby:</t>
  </si>
  <si>
    <t>Zpracováno dne:</t>
  </si>
  <si>
    <t>MJ</t>
  </si>
  <si>
    <t>soubor</t>
  </si>
  <si>
    <t>m</t>
  </si>
  <si>
    <t>m2</t>
  </si>
  <si>
    <t>kus</t>
  </si>
  <si>
    <t>m3</t>
  </si>
  <si>
    <t>t</t>
  </si>
  <si>
    <t>kg</t>
  </si>
  <si>
    <t>l</t>
  </si>
  <si>
    <t>ks</t>
  </si>
  <si>
    <t>%</t>
  </si>
  <si>
    <t>Množství</t>
  </si>
  <si>
    <t>Jednotková cena (Kč)</t>
  </si>
  <si>
    <t>Celkem:</t>
  </si>
  <si>
    <t>Objednatel:</t>
  </si>
  <si>
    <t>Projektant:</t>
  </si>
  <si>
    <t>Zhotovitel:</t>
  </si>
  <si>
    <t>Zpracoval:</t>
  </si>
  <si>
    <t>Náklady celkem (Kč)</t>
  </si>
  <si>
    <t>Cenová soustava</t>
  </si>
  <si>
    <t>RTS I / 2019</t>
  </si>
  <si>
    <t>RTS I / 2018</t>
  </si>
  <si>
    <t>vlastní</t>
  </si>
  <si>
    <t>Stavební rozpočet - Jen podskupiny</t>
  </si>
  <si>
    <t>Objekt</t>
  </si>
  <si>
    <t>01</t>
  </si>
  <si>
    <t>02</t>
  </si>
  <si>
    <t>Poznámka:</t>
  </si>
  <si>
    <t>POKUD TENTO VÝKAZ VÝMĚR (Z DŮVODU UPŘESNĚNÍ A PŘIBLÍŽENÍ TECHNICKÝCH PARAMETRŮ, KVALITY PROJEKTOVANÝCH PRVKŮ A NAVRHOVANÝCH ŘEŠENÍ) OBSAHUJE POŽADAVKY NEBO ODKAZY NA OBCHODNÍ FIRMY NEBO NÁZVY, TECHNOLOGIE ČI SPECIFICKÁ OZNAČENÍ VÝROBKŮ, JSOU TYTO ODKAZY, NÁZVY A OZNAČENÍ NEZÁVAZNÁ, ZADAVATEL V SOULADU S § 89 ODST. 6 ZÁKONA Č. 134/2016 SB., O ZADÁVÁNÍ VEŘEJNÝCH ZAKÁZEK, UMOŽŇUJE POUŽITÍ I JINÝCH, KVALITATIVNĚ A TECHNICKY OBDOBNÝCH ŘEŠENÍ.</t>
  </si>
  <si>
    <t>Zkrácený popis</t>
  </si>
  <si>
    <t>Náklady (Kč)</t>
  </si>
  <si>
    <t>Dodávka</t>
  </si>
  <si>
    <t>Montáž</t>
  </si>
  <si>
    <t>Celkem</t>
  </si>
  <si>
    <t>Hmotnost (t)</t>
  </si>
  <si>
    <t>F</t>
  </si>
  <si>
    <t>T</t>
  </si>
  <si>
    <t>Stavební rozpočet - Jen objekty celkem</t>
  </si>
  <si>
    <t>Výkaz výměr</t>
  </si>
  <si>
    <t>RTS komentář:</t>
  </si>
  <si>
    <t xml:space="preserve">- zajištění PDZ, zvláštního užívání komunikace, omezení dopravy vč. příslušných povolení				_x000D_
- náklady na zařízení staveniště vč. napojení na potřebná media				_x000D_
- náklady související s případným zásahem do silničních pozemků				_x000D_
</t>
  </si>
  <si>
    <t xml:space="preserve">- technologický postup provádění prací_x000D_
- plán BOZP_x000D_
- výkresy výškopisného řešení ploch_x000D_
- dílenská dokumentace venkovní účebny_x000D_
- geodetické práce související s výstavbou, vytýčení stavby				_x000D_
- geodetické zaměření skutečného stavu jednotlivých objektů oprávněnou osobou (tiskopis v graf. formě 3x, v digitální formě 1x)				_x000D_
- geometrický plán pro zápis do KN				_x000D_
- doklady ke kolaudaci, revizní zprávy jsou-li vyžadovány				_x000D_
- projektová dokumentace skutečného provedení stavby se zákresem případných změn				_x000D_
</t>
  </si>
  <si>
    <t xml:space="preserve">- průběžné čištění znečištěných komunikací stavbou				_x000D_
- zajištění výkopů (zábradlí) a přístupů k objektům (lávky,  budou využity dle postupu výstavby vždy v dotčeném prostoru)	_x000D_
- zajištění obslužného provozu - zásobování, svoz kom. odpadu, hasiči, záchranná služba				_x000D_
- zkoušky hutnění, únosnosti zemní pláně (dle požadavku investora), možno využít rázovou zatěžovací zkoušky po pravidelných intervalech 30,0 m, tzn. 5 ks zkoušek v prostoru chodníku				_x000D_
  dle požřadavku správce komunikace bude provedeno ověření únosnosti podkladních vrstev ze ŠD před pokládkou živice po pravidelných intervalech 30,0 m, tzn. 5 ks zkoušek po délce zásahu				_x000D_
- ochránění stávajících inženýrských sítí v prostoru stavby během výstavby				_x000D_
- zajištění zpětného předání dotčených ploch jednotlivým majitelům a správcům				_x000D_
- fotodokumentace stavby (průběžné provedení dle postupu výstavby, vždy při provedení nových konstrukcí - pro průkaznost jejich provedení a po dokončení stavby)				_x000D_
</t>
  </si>
  <si>
    <t>- vytýčení IS vč. provedení průzkumných sond</t>
  </si>
  <si>
    <t xml:space="preserve">- geodetické práce související s výstavbou, vytýčení stavby				_x000D_
- geodetické zaměření skutečného stavu jednotlivých objektů oprávněnou osobou (tiskopis v graf. formě 3x, v digitální formě 1x)				_x000D_
- geometrický plán pro zápis do KN				_x000D_
- doklady ke kolaudaci, revizní zprávy jsou-li vyžadovány				_x000D_
- projektová dokumentace skutečného provedení stavby se zákresem případných změn				_x000D_
</t>
  </si>
  <si>
    <t>Položka je určena i pro odstranění podkladů nebo krytů ze zemin stabilizovaných vápnem. Pro volbu položky z hlediska množství se uvažuje každá souvisle odstraňovaná plocha krytu nebo podkladu stejného druhu samostatně.Odstraňuje-li se několik vrstev vozovky najednou, jednotlivé vrstvy se oceňují každá samostatně.</t>
  </si>
  <si>
    <t>19,25   výšková úprava stávající dlažby</t>
  </si>
  <si>
    <t>40   Přeskládání okapového chodníku</t>
  </si>
  <si>
    <t>Položka není určena pro rozebrání dlažeb uložených do betonového lože a pro rozebrání dlažeb z mozaiky uložených do cementové malty. V položce nejsou zakalkulovány náklady na popř. nutné očištění vybouraných betonových dlaždic.</t>
  </si>
  <si>
    <t>10,25   Strhnutí ornice podél obrub</t>
  </si>
  <si>
    <t>80*0,1   Mlatová plocha A</t>
  </si>
  <si>
    <t>V položce je obsaženo i uložení na dočasnou skládku v příslušné vzdálenosti, pokud na 1 m2 skládky nepřipadá více jak 2 m3 ornice. V opačném případě se uložení musí dokalkulovat. STANDARDY KONSTRUKCÍ Obsah standardu je popsán následujícími technickými a kvalitativními parametry.  Odstranění travin, rákosu ruderálního porostu, stařiny, zřízení protipožárních pásů a kosení ve vegetačním období s ponecháním na místě Odstraněním travin a rákosu se rozumí ruční posekání travin, rákosu a také všech zemědělských plodin, ruderálního porostu, stařiny apod. kosou. Obsahem standardu je pro odstranění travin ruční posekání trávy a rákosu se shrabání hráběmi a odnosem 50 m a uložením na hromady, pro odstranění ruderálního porostu a odstranění stařiny kosení, naložení shrabků, odvoz do 20 km a složení, pro protipožární pásy</t>
  </si>
  <si>
    <t>srýpnutí organického půdního krytu až na minerální půdu, vykopání a odhrabání organických látek a jejich odstranění na vzdálenost do 2 m, pro odstranění rákosu, plazivého rostlinstva a bodláčí práce při hloubce vody do 300 mm, vybrání a svázání prutů pro průmyslové účely do snopků vázacím drátem a odklizení a uložení až na vzdálenost do 20 m od kraje hladiny v dané době, pro vytrhání bodláčí uložení na hromady mimo pěstované travní plochy a spálení po seschnutí Popis standardu musí vymezit druh traviny, hustotu porostu a kosenou plochu.  Celoplošné vyžínání buřeně v lesních výsadbách Celoplošným vyžínáním buřeně v lesních výsadbách se rozumí odstranění maliní, ostružiní, křovin apod. Obsahem standardu je kosení, shrabání a složení do hromad  Odstranění křovin a stromů s odstraněním nebo ponecháním kořenů,</t>
  </si>
  <si>
    <t>seřezání vrbového proutí, prořezávka porostů.  Odstraněním křovin a stromů s odstraněním nebo ponecháním kořenů, seřezání vrbového proutí, prořezávka porostů a spálení křovin větví a stromů se rozumí odstranění křovin a stromů o průměru kmene do 100 mm, seřezávka vrbového proutí na vegetačních zpevněních, prořezávka porostů, spálení křovin, větví a stromů a odstranění pařezů odfrézováním. Obsahem standardu je: odstranění keřovitého porostu a seřezání vrbového proutí na vegetačních zpevněních (křoviny a stromky o průměru kmenů do 5 cm) ruční pilkou nebo sekerkou nad 5 cm motorovou pilou s odstraněním kořenů a složením do hromad do vzdálenosti 20 m ( průměrný počet stromků nebo keřů na 1 m2: řídký porost 1 ks, středně hustý 3 ks, hustý přes 3 ks), prořezávka porostů, výběr, prořezání a ponechání vytěženého nehroubí</t>
  </si>
  <si>
    <t>na místě, spálení odstraněných křovin, přihrnování křovin, očištění spáleniště, uložení popela a zbytků na hromadu, odstranění pařezů pojezdem traktoru s frézou na pařezy, nutné přemístění a uložení na hromady na vzdálenost do50 m nebo naložení na dopravní prostředek do sklonu terénu 1 : 5.</t>
  </si>
  <si>
    <t>42,05   Odkopávka konstrukčních vrstev</t>
  </si>
  <si>
    <t>16   Mlatová plocha A</t>
  </si>
  <si>
    <t>Do měrných jednotek se udává poměrné množství zeminy, které ulpí v nářadí a o které je snížen celkový výkon stroje.</t>
  </si>
  <si>
    <t>1,05   skruž</t>
  </si>
  <si>
    <t>0,7*0,7*1*9   Patky pod učebnu</t>
  </si>
  <si>
    <t>Položka obsahuje hloubení jámy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výkopu.</t>
  </si>
  <si>
    <t>Položka neobsahuje svislou ani vodorovnou přepravu vybouraného materiálu, ani uložení a poplatek za skládku.</t>
  </si>
  <si>
    <t>18,25+58,05+3,99   Odvoz na mezideponii</t>
  </si>
  <si>
    <t>18,25+58,05+3,99   Dovoz z mezideponie</t>
  </si>
  <si>
    <t>18,25+58,05+3,99   </t>
  </si>
  <si>
    <t>13,75+3,35   Uložení na mezideponii</t>
  </si>
  <si>
    <t>13,75+3,35   Vrácení z mezideponie</t>
  </si>
  <si>
    <t>13,75+3,35   </t>
  </si>
  <si>
    <t>Položka obsahuje přemístění materiálu pro zásyp ze vzdálenosti do 15 m od hrany zasypávaného prostoru - bez použití strojů. Položka je určena pro sypané konstrukce vyplňující prostor pod úrovní terénu v prostorách, kde není možné použít těžkou mechanizaci.</t>
  </si>
  <si>
    <t>1,2*1,6   Doplnění zeminy</t>
  </si>
  <si>
    <t>25,5   Dosypání za obruby</t>
  </si>
  <si>
    <t>172,5   Dosypání odtěžených ploch</t>
  </si>
  <si>
    <t>80*0,04   Mlatová plocha</t>
  </si>
  <si>
    <t>135,06*1,6   Doplnění zeminy</t>
  </si>
  <si>
    <t>39+16,5   </t>
  </si>
  <si>
    <t>V položce není kalkulován poplatek za skládku pro vybouranou suť. Tyto náklady se oceňují individuálně podle místních podmínek. Orientační hmotnost vybouraných konstrukcí je 0,065 t/m2 konstrukce.</t>
  </si>
  <si>
    <t>2025   Původní travnatá plocha</t>
  </si>
  <si>
    <t>130   Nová travnatá plocha</t>
  </si>
  <si>
    <t>V položce nejsou zakalkulovány náklady na vypletí a zalévání.</t>
  </si>
  <si>
    <t>33,5   Bylinkový záhon</t>
  </si>
  <si>
    <t>107   Edukativní záhon</t>
  </si>
  <si>
    <t>206,95   Záhon tab. č. 1</t>
  </si>
  <si>
    <t>204,3   Záhon tab. č. 2</t>
  </si>
  <si>
    <t>207,25   Záhon tab. č. 3</t>
  </si>
  <si>
    <t>2025*0,03   Původní travnatá plocha</t>
  </si>
  <si>
    <t>130*0,03   Nová travnatá plocha</t>
  </si>
  <si>
    <t>pro běžnou zátěž  balení 25 kg obj. č. 4417</t>
  </si>
  <si>
    <t>2025*0,01   Původní travnatá plocha</t>
  </si>
  <si>
    <t>130*0,01   Nová travnatá plocha</t>
  </si>
  <si>
    <t>33,5*0,01   Bylinkový záhon</t>
  </si>
  <si>
    <t>107*0,01   Edukativní záhon</t>
  </si>
  <si>
    <t>206,95*0,01   Záhon tab. č. 1</t>
  </si>
  <si>
    <t>204,3*0,01   Záhon tab. č. 2</t>
  </si>
  <si>
    <t>207,25*0,01   Záhon tab. č. 3</t>
  </si>
  <si>
    <t>Položka se používá pro souvislé plochy do 500 m2.</t>
  </si>
  <si>
    <t>0,5   Doplnění ornice</t>
  </si>
  <si>
    <t>Podle současné legislativy ornice nesmí být předmětem prodeje. Může být věnována za účelem použití na jiném místě.  Firma, která se zabývá pozemkovými úpravami takovou ornici na své náklady odveze, uloží a ošetřuje vhodným způsobem tj. s ohledem na zachování půdního života. Takto vznikají na ornici náklady cca ve výši 380-450 Kč/m3.</t>
  </si>
  <si>
    <t>40*0,03   </t>
  </si>
  <si>
    <t>40*0,01   </t>
  </si>
  <si>
    <t>85   Rozprostření za obruby</t>
  </si>
  <si>
    <t>345   Rozprostření na odtěžených plochách</t>
  </si>
  <si>
    <t>24,75   Doplnění ornice</t>
  </si>
  <si>
    <t>33,5*0,1   Bylinkový záhon</t>
  </si>
  <si>
    <t>107*0,1   Edukativní záhon</t>
  </si>
  <si>
    <t>206,95*0,1   Záhon tab. č. 1</t>
  </si>
  <si>
    <t>204,3*0,1   Záhon tab. č. 2</t>
  </si>
  <si>
    <t>207,25*0,1   Záhon tab. č. 3</t>
  </si>
  <si>
    <t>33,5*0,025   Bylinkový záhon</t>
  </si>
  <si>
    <t>107*0,025   Edukativní záhon</t>
  </si>
  <si>
    <t>206,95*0,025   Záhon tab. č. 1</t>
  </si>
  <si>
    <t>204,3*0,025   Záhon tab. č. 2</t>
  </si>
  <si>
    <t>207,25*0,025   Záhon tab. č. 3</t>
  </si>
  <si>
    <t>0,4*0,4*0,3*2*8   Stojany pro kola</t>
  </si>
  <si>
    <t>0,5*0,5*0,2*2   Odpadkové koše</t>
  </si>
  <si>
    <t>0,4*0,6*0,3*2*7   Lavičky</t>
  </si>
  <si>
    <t>Položka obsahuje náklady na dodávku a uložení betonu včetně kamene do připravené konstrukce. Bednění se oceňuje samostatně.</t>
  </si>
  <si>
    <t>(0,4+0,4+0,4+0,4)*0,4*2*8   Stojany pro kola</t>
  </si>
  <si>
    <t>(0,5+0,5+0,5+0,5)*0,3*2   Odpadkové koše</t>
  </si>
  <si>
    <t>(0,4+0,6+0,6+0,4)*0,4*2*7   Lavičky</t>
  </si>
  <si>
    <t>Položka obsahuje náklady na dodávku a uložení betonu do připravené konstrukce. Bednění se oceňuje samostatně.</t>
  </si>
  <si>
    <t>685   Podsyp pod asfalt</t>
  </si>
  <si>
    <t>56,67   Podsyp pod obruby</t>
  </si>
  <si>
    <t>80   Mlatová plocha</t>
  </si>
  <si>
    <t>39,3+80   </t>
  </si>
  <si>
    <t>(39,3+80)*1,1   </t>
  </si>
  <si>
    <t>Geotextilie Geomatex RPES je netkaná geotextilie pro stavební účely vyrobená moderní technologií. Hlavním výrobním polymerem je 100% recyklovaný polyester (PET). Barva: multicolor. Používá se v opěrných konstrukcích, liniových stavbách, skládkách odpadů, drenážních systémech apod.  role 50 x 2 m  Použití: opěrné zdi a mostní opěry stabilizace podkladních vrstev a podloží skládky odpadů tunely a podzemní stavby dopravní stavby (silnice, železnice, parkoviště, kontejnerová přístaviště, letiště atd.) svahy, násypy, sesuvy základy staveb a zemní stavby</t>
  </si>
  <si>
    <t>Od CÚ 2015/ II. není v jednotkové ceně započteno řezání dlaždic!!! Rozpočtuje se samostatnou položkou 596 29-1113.R00 Řezání zámkové dlažby tl. 80 mm. V položce jsou zakalkulovány i náklady na dodání hmot pro lože a na dodání materiálu na výplň spár. V položce nejsou zakalkulovány náklady na dodání zámkové dlažby, která se oceňuje ve specifikaci, ztratné se doporučuje ve výši 5%.</t>
  </si>
  <si>
    <t>51,25   Nový chodník</t>
  </si>
  <si>
    <t>51,25*1,1   </t>
  </si>
  <si>
    <t>Impregnace Protect System IN</t>
  </si>
  <si>
    <t>V položce jsou zakalkulovány i náklady na dodání hmot pro lože a na dodání téhož materiálu pro výplň spár. V položce nejsou zakalkulovány náklady na dodání dlaždic, které se oceňují ve specifikaci, ztratné se doporučuje ve výši 5%.  Část lože přesahující tloušťku 3 cm se oceňuje položkami souboru 451 ..-9 Příplatek za každých dalčích 10 mm tloušťky podkladu nebo lože.</t>
  </si>
  <si>
    <t>Přeskládání okapového chodníku.</t>
  </si>
  <si>
    <t>Bez obrubníku.</t>
  </si>
  <si>
    <t>7,75+4,5   </t>
  </si>
  <si>
    <t>V položce je zakalkulováno: Výkop rýhy ruční, odvoz výkopku do 10 m, lože pod potrubí ze štěrkopísku, dodávka a montáž potrubí z trub PVC vnějšího průměru dle popisu , zkouška těsnosti potrubí, obsyp potrubí a zásyp rýhy sypaninou.</t>
  </si>
  <si>
    <t>26,16+14+10+30,72+29,85   </t>
  </si>
  <si>
    <t>V položce jsou zakalkulovány i naklady na vyvrtání děr, osazení svorníků a dotažení rektifikačních článků. V položce nejsou zakalkulovány náklady na montáž hmoždinek a táhel.Tyto práce se oceňují položkami souboru 762 31 Montáž hmoždinek a táhel.V položce rovněž nejsou zakalkulovány náklady na dodávku řeziva.Tato dodávka se oceňuje ve specifikaci, ztratné se doporučuje ve výši 8%.</t>
  </si>
  <si>
    <t>80+56,2   </t>
  </si>
  <si>
    <t>Hoblování jakýchkoliv dřevěných profilů strojně na pile.</t>
  </si>
  <si>
    <t>Položka je určena pouze pro soubory:  762 33 Montáž vázaných konstrukcí krovů 762 34 Montáž bednění a laťování, 762 35 Montáž nadstřešních konstrukcí, 762 36 Montáž spádových klínů.</t>
  </si>
  <si>
    <t>(26,16+30,72+29,95)*(0,15*4)   </t>
  </si>
  <si>
    <t>56,52*(0,06+0,06+0,18+0,18)   </t>
  </si>
  <si>
    <t>24*(0,15+0,15+0,18+0,18)   </t>
  </si>
  <si>
    <t>61,2*(0,06+0,06+0,16+0,16)   </t>
  </si>
  <si>
    <t>80*(0,06+0,06+0,14+0,14)   </t>
  </si>
  <si>
    <t>Koncentrovaný vodou ředitelný fungicidní a insekticidní přípravek na dřevo i zdivo. Přípravek poskytuje dlouhodobou ochranu proti dřevokaznému hmyzu, dřevokazným houbám a plísním. Aplikuje se máčením (1x).</t>
  </si>
  <si>
    <t>Plech dovoz z Francie</t>
  </si>
  <si>
    <t>26,62   </t>
  </si>
  <si>
    <t>Položka je kalkulována pro oplechování zdí a nadezdívek včetně rohů.</t>
  </si>
  <si>
    <t>Položka je určena pro montáž podkladní konstrukce krytiny bedněním z prken, jednotlivých ploch nad 10 m2 a obsahuje pouze montážní práce na střeše o sklonu do 35°. Veškerý materiál se ocení ve specifikaci. Montáž bednění přes 35° do 45° se ocení příplatkem za sklon položkou č. 765 79-9245 a ve sklonu přes 45° se stanoví individuálně.</t>
  </si>
  <si>
    <t>43,892*0,025*1,1   </t>
  </si>
  <si>
    <t>Položka neobsahuje náklady na kontralatě; tyto náklady se oceňují samostatně.</t>
  </si>
  <si>
    <t>Položka je určena pro zastřešení na bednění s lepenkou.</t>
  </si>
  <si>
    <t>Viz. obrázek č. 1 v PD, např CENTRUM II</t>
  </si>
  <si>
    <t>Viz. obrázek č. 2 v PD</t>
  </si>
  <si>
    <t>Viz. obrázek č. 3 v PD</t>
  </si>
  <si>
    <t>7+7+7+4,72+4,72   </t>
  </si>
  <si>
    <t>112,95   Montáž lemování</t>
  </si>
  <si>
    <t>45*0,00251   </t>
  </si>
  <si>
    <t>hmotnost 2,51 kg/m</t>
  </si>
  <si>
    <t>42,6   </t>
  </si>
  <si>
    <t>19,807   </t>
  </si>
  <si>
    <t>7,1*6*0,001*1,1   Patní plech</t>
  </si>
  <si>
    <t>19,807*1,1*0,001   Montážní profil - kotvící prvek</t>
  </si>
  <si>
    <t>válcovaný za studena  PLECH VÁLC.ZA STUDENA ČSN 42 6312.32, ČSN 42 0127, zn. 11 321.21 DLE ČSN,matný, maštěný  PLECH VÁLC.ZA STUDENA EN 10131, zn. DC01 DLE EN 10130+A1, matný, maštěný</t>
  </si>
  <si>
    <t>85,747   </t>
  </si>
  <si>
    <t>85,747*0,001*1,1   </t>
  </si>
  <si>
    <t>hmotnost 2,71 kg/m  Profilová ocel tvářená za studena  PROFILY OTEVŘENÉ TVARU L ČSN 42 6949, ČSN 42 0121, ČSN 41 1373.0, Č.PR.4901930  S235JR (1.0038) dle EN 10025-2 Obdobná: 11 375</t>
  </si>
  <si>
    <t>354,944   Základový rám 2XU160</t>
  </si>
  <si>
    <t>789,6   </t>
  </si>
  <si>
    <t>3*2*18,8*7*0,001*1,1   </t>
  </si>
  <si>
    <t>2*2*18,8*4,72*0,001*1,1   </t>
  </si>
  <si>
    <t>Tyče tvarové z konstrukčních ocelí válcované za tepla.  ČSN 42 0135 - Technické dodací předpisy ČSN 42 5570 - Rozměry  V tyčích délky 12 m, hmotnost 18,80 kg/m.  TYČ TVAROVÁ U VÁLC. ZA TEPLA ČSN 42 5570, ČSN 42 0135, zn. 11 375.0</t>
  </si>
  <si>
    <t>Ochranná exteriérová a interiérová lazurovací tenkovrstvá povrchová úprava. Chrání před atmosférickými vlivy, slunečními paprsky, vlhkostí, vodou, růstem plísní a hub a před napadením dřevokaznými houbami. Před nátěrem se dřevo opatří impregnačním nátěrem položka č. 78362-6001.</t>
  </si>
  <si>
    <t>0,3*0,3*2*6   </t>
  </si>
  <si>
    <t>(7+7+4,72+4,72+7)*(0,16*4)   </t>
  </si>
  <si>
    <t>12,76*(0,07+0,07+0,14)   </t>
  </si>
  <si>
    <t>(0,05*0,07*72*2)   </t>
  </si>
  <si>
    <t>V položce je zakalkulováno: osazení betonového dna, betonové skruže, šachetního konusu, vyrovnávacího prstence vložení těsnění mezi dílce a osazení litinového poklopu.  V max. 40 vtok/výtok do max. DN 400</t>
  </si>
  <si>
    <t>30,8+85,5+87,2+92,35   </t>
  </si>
  <si>
    <t>Položka obsahuje výkop rýhy, osazení obrubníhu, připevnění do podkladu hřeby a přihrnutí zeminy. Dodávka obrubníku se oceňuje ve specifikaci.</t>
  </si>
  <si>
    <t>25   </t>
  </si>
  <si>
    <t>Zahradní obrubník GARDEN DIAMOND JUNIOR 12 m černý Možnost napojování obrubníků do délky pomocí spojek. Obrubník je vyroben ze středně hustého polyetylenu (MDPE). K výrobě je použit regranulát s příměsí, která chrání obrubník proti slunci, UV záření a popraskání přes zimu. Spojovací a kotvící prvky jsou vyrobeny z polypropylenu.  Hmotnost: 3 kg Délka obrubníku: 12 m Barva: černá Typ obrubníku: nezavlažovací</t>
  </si>
  <si>
    <t>9,75+4,15   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</si>
  <si>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nebo litého asfaltu. Bourání případné výztuže v mazaninách se oceňuje položkami souboru 965 04 91.. Příplatek za bourání mazanin s výztuží.</t>
  </si>
  <si>
    <t>903,8715*20   </t>
  </si>
  <si>
    <t>373,291*20   </t>
  </si>
  <si>
    <t>V položce jsou zakalkulovány i náklady na hrubé urovnání.</t>
  </si>
  <si>
    <t>Potřebné množství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</si>
  <si>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</si>
  <si>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</si>
  <si>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</si>
  <si>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</si>
  <si>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</si>
  <si>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</si>
  <si>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</si>
  <si>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</si>
  <si>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</si>
  <si>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</si>
  <si>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</si>
  <si>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</si>
  <si>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</si>
  <si>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</si>
  <si>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</si>
  <si>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</si>
  <si>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</si>
  <si>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</si>
  <si>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</si>
  <si>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</si>
  <si>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</si>
  <si>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</si>
  <si>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</si>
  <si>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</si>
  <si>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</si>
  <si>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</si>
  <si>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</si>
  <si>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</si>
  <si>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</si>
  <si>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</si>
  <si>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</si>
  <si>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</si>
  <si>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</si>
  <si>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</si>
  <si>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</si>
  <si>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</si>
  <si>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</si>
  <si>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</si>
  <si>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</si>
  <si>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</si>
  <si>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</si>
  <si>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</si>
  <si>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</si>
  <si>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00296228/CZ00296228</t>
  </si>
  <si>
    <t>88652548/CZ8507215376</t>
  </si>
  <si>
    <t>REVITALIZACE ZELENĚ A ÚPRAVA ZPEVNĚNÝCH PLOCH ZŠ MĚSTO ALBRECHTICE</t>
  </si>
  <si>
    <t>Město Albrechtice</t>
  </si>
  <si>
    <t>Rozměry</t>
  </si>
  <si>
    <t>V položce je obsaženo i uložení na dočasnou skládku v příslušné vzdálenosti, pokud na 1 m2 skládky nepřipadá více jak 2 m3 ornice. V opačném případě se uložení musí dokalkulovat. STANDARDY KONSTRUKCÍ Obsah standardu je popsán následujícími technickými a kvalitativními parametry.  Odstranění travin, rákosu ruderálního porostu, stařiny, zřízení protipožárních pásů a kosení ve vegetačním období s ponecháním na místě Odstraněním travin a rákosu se rozumí ruční posekání travin, rákosu a také všech zemědělských plodin, ruderálního porostu, stařiny apod. kosou. Obsahem standardu je pro odstranění travin ruční posekání trávy a rákosu se shrabání hráběmi a odnosem 50 m a uložením na hromady, pro odstranění ruderálního porostu a odstranění stařiny kosení, naložení shrabků, odvoz do 20 km a složení, pro protipožární pásy srýpnutí organického půdního krytu až na</t>
  </si>
  <si>
    <t>minerální půdu, vykopání a odhrabání organických látek a jejich odstranění na vzdálenost do 2 m, pro odstranění rákosu, plazivého rostlinstva a bodláčí práce při hloubce vody do 300 mm, vybrání a svázání prutů pro průmyslové účely do snopků vázacím drátem a odklizení a uložení až na vzdálenost do 20 m od kraje hladiny v dané době, pro vytrhání bodláčí uložení na hromady mimo pěstované travní plochy a spálení po seschnutí Popis standardu musí vymezit druh traviny, hustotu porostu a kosenou plochu.  Celoplošné vyžínání buřeně v lesních výsadbách Celoplošným vyžínáním buřeně v lesních výsadbách se rozumí odstranění maliní, ostružiní, křovin apod. Obsahem standardu je kosení, shrabání a složení do hromad  Odstranění křovin a stromů s odstraněním nebo ponecháním kořenů, seřezání vrbového proutí, prořezávka porostů.  Odstraněním křovin a stromů s odstraněním nebo</t>
  </si>
  <si>
    <t>ponecháním kořenů, seřezání vrbového proutí, prořezávka porostů a spálení křovin větví a stromů se rozumí odstranění křovin a stromů o průměru kmene do 100 mm, seřezávka vrbového proutí na vegetačních zpevněních, prořezávka porostů, spálení křovin, větví a stromů a odstranění pařezů odfrézováním. Obsahem standardu je: odstranění keřovitého porostu a seřezání vrbového proutí na vegetačních zpevněních (křoviny a stromky o průměru kmenů do 5 cm) ruční pilkou nebo sekerkou nad 5 cm motorovou pilou s odstraněním kořenů a složením do hromad do vzdálenosti 20 m ( průměrný počet stromků nebo keřů na 1 m2: řídký porost 1 ks, středně hustý 3 ks, hustý přes 3 ks), prořezávka porostů, výběr, prořezání a ponechání vytěženého nehroubí na místě, spálení odstraněných křovin, přihrnování křovin, očištění spáleniště, uložení popela a zbytků na hromadu, odstranění pařezů</t>
  </si>
  <si>
    <t>pojezdem traktoru s frézou na pařezy, nutné přemístění a uložení na hromady na vzdálenost do50 m nebo naložení na dopravní prostředek do sklonu terénu 1 : 5.</t>
  </si>
  <si>
    <t>02.08.2019</t>
  </si>
  <si>
    <t>Cena/MJ</t>
  </si>
  <si>
    <t>(Kč)</t>
  </si>
  <si>
    <t xml:space="preserve">Ing. Grigorios Akritidis_x000D_
</t>
  </si>
  <si>
    <t> </t>
  </si>
  <si>
    <t>Kamil Beck</t>
  </si>
  <si>
    <t>Jednot.</t>
  </si>
  <si>
    <t>Cenová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</si>
  <si>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</si>
  <si>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</si>
  <si>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</si>
  <si>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</si>
  <si>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</si>
  <si>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</si>
  <si>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</si>
  <si>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</si>
  <si>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</si>
  <si>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</si>
  <si>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100VD_</t>
  </si>
  <si>
    <t>11_</t>
  </si>
  <si>
    <t>12_</t>
  </si>
  <si>
    <t>13_</t>
  </si>
  <si>
    <t>16_</t>
  </si>
  <si>
    <t>17_</t>
  </si>
  <si>
    <t>771_</t>
  </si>
  <si>
    <t>18_</t>
  </si>
  <si>
    <t>27_</t>
  </si>
  <si>
    <t>34_</t>
  </si>
  <si>
    <t>43_</t>
  </si>
  <si>
    <t>56_</t>
  </si>
  <si>
    <t>57_</t>
  </si>
  <si>
    <t>59_</t>
  </si>
  <si>
    <t>63_</t>
  </si>
  <si>
    <t>721_</t>
  </si>
  <si>
    <t>762_</t>
  </si>
  <si>
    <t>764_</t>
  </si>
  <si>
    <t>765_</t>
  </si>
  <si>
    <t>767_</t>
  </si>
  <si>
    <t>783_</t>
  </si>
  <si>
    <t>89_</t>
  </si>
  <si>
    <t>91_</t>
  </si>
  <si>
    <t>96_</t>
  </si>
  <si>
    <t>H22_</t>
  </si>
  <si>
    <t>S_</t>
  </si>
  <si>
    <t>M21_</t>
  </si>
  <si>
    <t>01_1_</t>
  </si>
  <si>
    <t>01_77_</t>
  </si>
  <si>
    <t>01_2_</t>
  </si>
  <si>
    <t>01_3_</t>
  </si>
  <si>
    <t>01_4_</t>
  </si>
  <si>
    <t>01_5_</t>
  </si>
  <si>
    <t>01_6_</t>
  </si>
  <si>
    <t>01_72_</t>
  </si>
  <si>
    <t>01_76_</t>
  </si>
  <si>
    <t>01_78_</t>
  </si>
  <si>
    <t>01_8_</t>
  </si>
  <si>
    <t>01_9_</t>
  </si>
  <si>
    <t>02_1_</t>
  </si>
  <si>
    <t>02_5_</t>
  </si>
  <si>
    <t>02_9_</t>
  </si>
  <si>
    <t>01_</t>
  </si>
  <si>
    <t>02_</t>
  </si>
  <si>
    <t>MAT</t>
  </si>
  <si>
    <t>WORK</t>
  </si>
  <si>
    <t>CELK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</si>
</sst>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sz val="10"/>
      <color indexed="59"/>
      <name val="Arial"/>
      <charset val="238"/>
    </font>
    <font>
      <b/>
      <sz val="10"/>
      <color indexed="56"/>
      <name val="Arial"/>
      <charset val="238"/>
    </font>
    <font>
      <i/>
      <sz val="8"/>
      <color indexed="8"/>
      <name val="Arial"/>
      <charset val="238"/>
    </font>
    <font>
      <i/>
      <sz val="9"/>
      <color indexed="60"/>
      <name val="Arial"/>
      <charset val="238"/>
    </font>
    <font>
      <i/>
      <sz val="9"/>
      <color indexed="58"/>
      <name val="Arial"/>
      <charset val="238"/>
    </font>
    <font>
      <i/>
      <sz val="10"/>
      <color indexed="60"/>
      <name val="Arial"/>
      <charset val="238"/>
    </font>
    <font>
      <i/>
      <sz val="10"/>
      <color indexed="58"/>
      <name val="Arial"/>
      <charset val="238"/>
    </font>
    <font>
      <i/>
      <sz val="9"/>
      <color indexed="61"/>
      <name val="Arial"/>
      <charset val="238"/>
    </font>
    <font>
      <i/>
      <sz val="9"/>
      <color indexed="62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10"/>
      <color indexed="54"/>
      <name val="Arial"/>
      <charset val="238"/>
    </font>
    <font>
      <sz val="10"/>
      <color indexed="56"/>
      <name val="Arial"/>
      <charset val="238"/>
    </font>
    <font>
      <b/>
      <sz val="10"/>
      <color indexed="54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9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1">
    <xf numFmtId="0" fontId="1" fillId="0" borderId="0" xfId="0" applyFont="1" applyAlignment="1">
      <alignment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4" fontId="7" fillId="2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left" vertical="center"/>
    </xf>
    <xf numFmtId="49" fontId="1" fillId="0" borderId="15" xfId="0" applyNumberFormat="1" applyFont="1" applyFill="1" applyBorder="1" applyAlignment="1" applyProtection="1">
      <alignment horizontal="left" vertical="center"/>
    </xf>
    <xf numFmtId="49" fontId="3" fillId="0" borderId="16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3" fillId="0" borderId="22" xfId="0" applyNumberFormat="1" applyFont="1" applyFill="1" applyBorder="1" applyAlignment="1" applyProtection="1">
      <alignment horizontal="center" vertical="center"/>
    </xf>
    <xf numFmtId="49" fontId="3" fillId="0" borderId="24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3" fillId="0" borderId="28" xfId="0" applyNumberFormat="1" applyFont="1" applyFill="1" applyBorder="1" applyAlignment="1" applyProtection="1">
      <alignment horizontal="center" vertical="center"/>
    </xf>
    <xf numFmtId="0" fontId="1" fillId="0" borderId="29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" fontId="1" fillId="0" borderId="6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3" fillId="0" borderId="7" xfId="0" applyNumberFormat="1" applyFont="1" applyFill="1" applyBorder="1" applyAlignment="1" applyProtection="1">
      <alignment horizontal="right" vertical="center"/>
    </xf>
    <xf numFmtId="49" fontId="3" fillId="0" borderId="30" xfId="0" applyNumberFormat="1" applyFont="1" applyFill="1" applyBorder="1" applyAlignment="1" applyProtection="1">
      <alignment horizontal="left" vertical="center"/>
    </xf>
    <xf numFmtId="49" fontId="7" fillId="2" borderId="6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49" fontId="3" fillId="0" borderId="31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right" vertical="top"/>
    </xf>
    <xf numFmtId="49" fontId="10" fillId="0" borderId="0" xfId="0" applyNumberFormat="1" applyFont="1" applyFill="1" applyBorder="1" applyAlignment="1" applyProtection="1">
      <alignment horizontal="right" vertical="top"/>
    </xf>
    <xf numFmtId="49" fontId="3" fillId="0" borderId="31" xfId="0" applyNumberFormat="1" applyFont="1" applyFill="1" applyBorder="1" applyAlignment="1" applyProtection="1">
      <alignment horizontal="right" vertical="center"/>
    </xf>
    <xf numFmtId="49" fontId="7" fillId="2" borderId="6" xfId="0" applyNumberFormat="1" applyFont="1" applyFill="1" applyBorder="1" applyAlignment="1" applyProtection="1">
      <alignment horizontal="right" vertical="center"/>
    </xf>
    <xf numFmtId="49" fontId="7" fillId="2" borderId="0" xfId="0" applyNumberFormat="1" applyFont="1" applyFill="1" applyBorder="1" applyAlignment="1" applyProtection="1">
      <alignment horizontal="righ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" fontId="14" fillId="0" borderId="0" xfId="0" applyNumberFormat="1" applyFont="1" applyFill="1" applyBorder="1" applyAlignment="1" applyProtection="1">
      <alignment horizontal="right" vertical="center"/>
    </xf>
    <xf numFmtId="49" fontId="3" fillId="0" borderId="34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16" fillId="3" borderId="36" xfId="0" applyNumberFormat="1" applyFont="1" applyFill="1" applyBorder="1" applyAlignment="1" applyProtection="1">
      <alignment horizontal="center" vertical="center"/>
    </xf>
    <xf numFmtId="49" fontId="17" fillId="0" borderId="37" xfId="0" applyNumberFormat="1" applyFont="1" applyFill="1" applyBorder="1" applyAlignment="1" applyProtection="1">
      <alignment horizontal="left" vertical="center"/>
    </xf>
    <xf numFmtId="49" fontId="17" fillId="0" borderId="38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18" fillId="0" borderId="36" xfId="0" applyNumberFormat="1" applyFont="1" applyFill="1" applyBorder="1" applyAlignment="1" applyProtection="1">
      <alignment horizontal="left" vertical="center"/>
    </xf>
    <xf numFmtId="0" fontId="1" fillId="0" borderId="6" xfId="0" applyNumberFormat="1" applyFont="1" applyFill="1" applyBorder="1" applyAlignment="1" applyProtection="1">
      <alignment vertical="center"/>
    </xf>
    <xf numFmtId="0" fontId="1" fillId="0" borderId="1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vertical="center"/>
    </xf>
    <xf numFmtId="4" fontId="18" fillId="0" borderId="36" xfId="0" applyNumberFormat="1" applyFont="1" applyFill="1" applyBorder="1" applyAlignment="1" applyProtection="1">
      <alignment horizontal="right" vertical="center"/>
    </xf>
    <xf numFmtId="49" fontId="18" fillId="0" borderId="36" xfId="0" applyNumberFormat="1" applyFont="1" applyFill="1" applyBorder="1" applyAlignment="1" applyProtection="1">
      <alignment horizontal="right" vertical="center"/>
    </xf>
    <xf numFmtId="4" fontId="18" fillId="0" borderId="24" xfId="0" applyNumberFormat="1" applyFont="1" applyFill="1" applyBorder="1" applyAlignment="1" applyProtection="1">
      <alignment horizontal="right" vertical="center"/>
    </xf>
    <xf numFmtId="0" fontId="1" fillId="0" borderId="44" xfId="0" applyNumberFormat="1" applyFont="1" applyFill="1" applyBorder="1" applyAlignment="1" applyProtection="1">
      <alignment vertical="center"/>
    </xf>
    <xf numFmtId="0" fontId="1" fillId="0" borderId="11" xfId="0" applyNumberFormat="1" applyFont="1" applyFill="1" applyBorder="1" applyAlignment="1" applyProtection="1">
      <alignment vertical="center"/>
    </xf>
    <xf numFmtId="4" fontId="17" fillId="3" borderId="42" xfId="0" applyNumberFormat="1" applyFont="1" applyFill="1" applyBorder="1" applyAlignment="1" applyProtection="1">
      <alignment horizontal="right" vertical="center"/>
    </xf>
    <xf numFmtId="49" fontId="3" fillId="0" borderId="45" xfId="0" applyNumberFormat="1" applyFont="1" applyFill="1" applyBorder="1" applyAlignment="1" applyProtection="1">
      <alignment horizontal="left" vertical="center"/>
    </xf>
    <xf numFmtId="49" fontId="1" fillId="0" borderId="46" xfId="0" applyNumberFormat="1" applyFont="1" applyFill="1" applyBorder="1" applyAlignment="1" applyProtection="1">
      <alignment horizontal="left" vertical="center"/>
    </xf>
    <xf numFmtId="49" fontId="20" fillId="4" borderId="6" xfId="0" applyNumberFormat="1" applyFont="1" applyFill="1" applyBorder="1" applyAlignment="1" applyProtection="1">
      <alignment horizontal="left" vertical="center"/>
    </xf>
    <xf numFmtId="49" fontId="21" fillId="2" borderId="0" xfId="0" applyNumberFormat="1" applyFont="1" applyFill="1" applyBorder="1" applyAlignment="1" applyProtection="1">
      <alignment horizontal="left" vertical="center"/>
    </xf>
    <xf numFmtId="49" fontId="20" fillId="4" borderId="0" xfId="0" applyNumberFormat="1" applyFon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 applyProtection="1">
      <alignment horizontal="left" vertical="center"/>
    </xf>
    <xf numFmtId="49" fontId="3" fillId="0" borderId="15" xfId="0" applyNumberFormat="1" applyFont="1" applyFill="1" applyBorder="1" applyAlignment="1" applyProtection="1">
      <alignment horizontal="left" vertical="center"/>
    </xf>
    <xf numFmtId="49" fontId="1" fillId="0" borderId="16" xfId="0" applyNumberFormat="1" applyFont="1" applyFill="1" applyBorder="1" applyAlignment="1" applyProtection="1">
      <alignment horizontal="left" vertical="center"/>
    </xf>
    <xf numFmtId="49" fontId="22" fillId="4" borderId="6" xfId="0" applyNumberFormat="1" applyFont="1" applyFill="1" applyBorder="1" applyAlignment="1" applyProtection="1">
      <alignment horizontal="left" vertical="center"/>
    </xf>
    <xf numFmtId="49" fontId="22" fillId="4" borderId="0" xfId="0" applyNumberFormat="1" applyFont="1" applyFill="1" applyBorder="1" applyAlignment="1" applyProtection="1">
      <alignment horizontal="left" vertical="center"/>
    </xf>
    <xf numFmtId="49" fontId="11" fillId="0" borderId="0" xfId="0" applyNumberFormat="1" applyFont="1" applyFill="1" applyBorder="1" applyAlignment="1" applyProtection="1">
      <alignment horizontal="right" vertical="top"/>
    </xf>
    <xf numFmtId="49" fontId="12" fillId="0" borderId="0" xfId="0" applyNumberFormat="1" applyFont="1" applyFill="1" applyBorder="1" applyAlignment="1" applyProtection="1">
      <alignment horizontal="right" vertical="top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47" xfId="0" applyNumberFormat="1" applyFont="1" applyFill="1" applyBorder="1" applyAlignment="1" applyProtection="1">
      <alignment horizontal="center" vertical="center"/>
    </xf>
    <xf numFmtId="49" fontId="3" fillId="0" borderId="48" xfId="0" applyNumberFormat="1" applyFont="1" applyFill="1" applyBorder="1" applyAlignment="1" applyProtection="1">
      <alignment horizontal="center" vertical="center"/>
    </xf>
    <xf numFmtId="49" fontId="22" fillId="4" borderId="6" xfId="0" applyNumberFormat="1" applyFont="1" applyFill="1" applyBorder="1" applyAlignment="1" applyProtection="1">
      <alignment horizontal="right" vertical="center"/>
    </xf>
    <xf numFmtId="49" fontId="22" fillId="4" borderId="0" xfId="0" applyNumberFormat="1" applyFont="1" applyFill="1" applyBorder="1" applyAlignment="1" applyProtection="1">
      <alignment horizontal="right"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49" fontId="3" fillId="0" borderId="49" xfId="0" applyNumberFormat="1" applyFont="1" applyFill="1" applyBorder="1" applyAlignment="1" applyProtection="1">
      <alignment horizontal="center" vertical="center"/>
    </xf>
    <xf numFmtId="49" fontId="3" fillId="0" borderId="50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22" fillId="4" borderId="6" xfId="0" applyNumberFormat="1" applyFont="1" applyFill="1" applyBorder="1" applyAlignment="1" applyProtection="1">
      <alignment horizontal="right" vertical="center"/>
    </xf>
    <xf numFmtId="4" fontId="22" fillId="4" borderId="0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8" fillId="0" borderId="29" xfId="0" applyNumberFormat="1" applyFont="1" applyFill="1" applyBorder="1" applyAlignment="1" applyProtection="1">
      <alignment horizontal="left" vertical="center"/>
    </xf>
    <xf numFmtId="0" fontId="18" fillId="0" borderId="0" xfId="0" applyNumberFormat="1" applyFont="1" applyFill="1" applyBorder="1" applyAlignment="1" applyProtection="1">
      <alignment horizontal="left" vertical="center"/>
    </xf>
    <xf numFmtId="0" fontId="18" fillId="0" borderId="43" xfId="0" applyNumberFormat="1" applyFont="1" applyFill="1" applyBorder="1" applyAlignment="1" applyProtection="1">
      <alignment horizontal="left" vertical="center"/>
    </xf>
    <xf numFmtId="49" fontId="18" fillId="0" borderId="41" xfId="0" applyNumberFormat="1" applyFont="1" applyFill="1" applyBorder="1" applyAlignment="1" applyProtection="1">
      <alignment horizontal="left" vertical="center"/>
    </xf>
    <xf numFmtId="0" fontId="18" fillId="0" borderId="17" xfId="0" applyNumberFormat="1" applyFont="1" applyFill="1" applyBorder="1" applyAlignment="1" applyProtection="1">
      <alignment horizontal="left" vertical="center"/>
    </xf>
    <xf numFmtId="0" fontId="18" fillId="0" borderId="20" xfId="0" applyNumberFormat="1" applyFont="1" applyFill="1" applyBorder="1" applyAlignment="1" applyProtection="1">
      <alignment horizontal="left" vertical="center"/>
    </xf>
    <xf numFmtId="49" fontId="17" fillId="3" borderId="39" xfId="0" applyNumberFormat="1" applyFont="1" applyFill="1" applyBorder="1" applyAlignment="1" applyProtection="1">
      <alignment horizontal="left" vertical="center"/>
    </xf>
    <xf numFmtId="0" fontId="17" fillId="3" borderId="35" xfId="0" applyNumberFormat="1" applyFont="1" applyFill="1" applyBorder="1" applyAlignment="1" applyProtection="1">
      <alignment horizontal="left" vertical="center"/>
    </xf>
    <xf numFmtId="49" fontId="18" fillId="0" borderId="40" xfId="0" applyNumberFormat="1" applyFont="1" applyFill="1" applyBorder="1" applyAlignment="1" applyProtection="1">
      <alignment horizontal="left" vertical="center"/>
    </xf>
    <xf numFmtId="0" fontId="18" fillId="0" borderId="6" xfId="0" applyNumberFormat="1" applyFont="1" applyFill="1" applyBorder="1" applyAlignment="1" applyProtection="1">
      <alignment horizontal="left" vertical="center"/>
    </xf>
    <xf numFmtId="0" fontId="18" fillId="0" borderId="19" xfId="0" applyNumberFormat="1" applyFont="1" applyFill="1" applyBorder="1" applyAlignment="1" applyProtection="1">
      <alignment horizontal="left" vertical="center"/>
    </xf>
    <xf numFmtId="49" fontId="17" fillId="0" borderId="39" xfId="0" applyNumberFormat="1" applyFont="1" applyFill="1" applyBorder="1" applyAlignment="1" applyProtection="1">
      <alignment horizontal="left" vertical="center"/>
    </xf>
    <xf numFmtId="0" fontId="17" fillId="0" borderId="42" xfId="0" applyNumberFormat="1" applyFont="1" applyFill="1" applyBorder="1" applyAlignment="1" applyProtection="1">
      <alignment horizontal="left" vertical="center"/>
    </xf>
    <xf numFmtId="49" fontId="18" fillId="0" borderId="39" xfId="0" applyNumberFormat="1" applyFont="1" applyFill="1" applyBorder="1" applyAlignment="1" applyProtection="1">
      <alignment horizontal="left" vertical="center"/>
    </xf>
    <xf numFmtId="0" fontId="18" fillId="0" borderId="42" xfId="0" applyNumberFormat="1" applyFont="1" applyFill="1" applyBorder="1" applyAlignment="1" applyProtection="1">
      <alignment horizontal="left" vertical="center"/>
    </xf>
    <xf numFmtId="49" fontId="15" fillId="0" borderId="35" xfId="0" applyNumberFormat="1" applyFont="1" applyFill="1" applyBorder="1" applyAlignment="1" applyProtection="1">
      <alignment horizontal="center" vertical="center"/>
    </xf>
    <xf numFmtId="0" fontId="15" fillId="0" borderId="35" xfId="0" applyNumberFormat="1" applyFont="1" applyFill="1" applyBorder="1" applyAlignment="1" applyProtection="1">
      <alignment horizontal="center" vertical="center"/>
    </xf>
    <xf numFmtId="49" fontId="19" fillId="0" borderId="39" xfId="0" applyNumberFormat="1" applyFont="1" applyFill="1" applyBorder="1" applyAlignment="1" applyProtection="1">
      <alignment horizontal="left" vertical="center"/>
    </xf>
    <xf numFmtId="0" fontId="19" fillId="0" borderId="42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/>
    </xf>
    <xf numFmtId="0" fontId="1" fillId="0" borderId="12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7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/>
    </xf>
    <xf numFmtId="49" fontId="1" fillId="0" borderId="18" xfId="0" applyNumberFormat="1" applyFont="1" applyFill="1" applyBorder="1" applyAlignment="1" applyProtection="1">
      <alignment horizontal="left" vertical="center"/>
    </xf>
    <xf numFmtId="0" fontId="1" fillId="0" borderId="6" xfId="0" applyNumberFormat="1" applyFont="1" applyFill="1" applyBorder="1" applyAlignment="1" applyProtection="1">
      <alignment horizontal="left" vertical="center"/>
    </xf>
    <xf numFmtId="0" fontId="1" fillId="0" borderId="19" xfId="0" applyNumberFormat="1" applyFont="1" applyFill="1" applyBorder="1" applyAlignment="1" applyProtection="1">
      <alignment horizontal="left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left" vertical="center"/>
    </xf>
    <xf numFmtId="0" fontId="3" fillId="0" borderId="17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 vertical="center"/>
    </xf>
    <xf numFmtId="0" fontId="1" fillId="0" borderId="17" xfId="0" applyNumberFormat="1" applyFont="1" applyFill="1" applyBorder="1" applyAlignment="1" applyProtection="1">
      <alignment horizontal="left" vertical="center"/>
    </xf>
    <xf numFmtId="0" fontId="1" fillId="0" borderId="26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49" fontId="3" fillId="2" borderId="0" xfId="0" applyNumberFormat="1" applyFont="1" applyFill="1" applyBorder="1" applyAlignment="1" applyProtection="1">
      <alignment horizontal="right" vertical="center"/>
    </xf>
    <xf numFmtId="0" fontId="3" fillId="2" borderId="0" xfId="0" applyNumberFormat="1" applyFont="1" applyFill="1" applyBorder="1" applyAlignment="1" applyProtection="1">
      <alignment horizontal="right" vertical="center"/>
    </xf>
    <xf numFmtId="4" fontId="7" fillId="2" borderId="0" xfId="0" applyNumberFormat="1" applyFont="1" applyFill="1" applyBorder="1" applyAlignment="1" applyProtection="1">
      <alignment horizontal="right" vertical="center"/>
    </xf>
    <xf numFmtId="0" fontId="7" fillId="2" borderId="0" xfId="0" applyNumberFormat="1" applyFont="1" applyFill="1" applyBorder="1" applyAlignment="1" applyProtection="1">
      <alignment horizontal="right"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49" fontId="3" fillId="2" borderId="6" xfId="0" applyNumberFormat="1" applyFont="1" applyFill="1" applyBorder="1" applyAlignment="1" applyProtection="1">
      <alignment horizontal="left" vertical="center"/>
    </xf>
    <xf numFmtId="0" fontId="3" fillId="2" borderId="6" xfId="0" applyNumberFormat="1" applyFont="1" applyFill="1" applyBorder="1" applyAlignment="1" applyProtection="1">
      <alignment horizontal="left" vertical="center"/>
    </xf>
    <xf numFmtId="49" fontId="3" fillId="2" borderId="6" xfId="0" applyNumberFormat="1" applyFont="1" applyFill="1" applyBorder="1" applyAlignment="1" applyProtection="1">
      <alignment horizontal="right" vertical="center"/>
    </xf>
    <xf numFmtId="0" fontId="3" fillId="2" borderId="6" xfId="0" applyNumberFormat="1" applyFont="1" applyFill="1" applyBorder="1" applyAlignment="1" applyProtection="1">
      <alignment horizontal="right" vertical="center"/>
    </xf>
    <xf numFmtId="4" fontId="3" fillId="2" borderId="6" xfId="0" applyNumberFormat="1" applyFont="1" applyFill="1" applyBorder="1" applyAlignment="1" applyProtection="1">
      <alignment horizontal="righ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left" vertical="top" wrapText="1"/>
    </xf>
    <xf numFmtId="0" fontId="12" fillId="0" borderId="0" xfId="0" applyNumberFormat="1" applyFont="1" applyFill="1" applyBorder="1" applyAlignment="1" applyProtection="1">
      <alignment horizontal="left" vertical="top"/>
    </xf>
    <xf numFmtId="49" fontId="13" fillId="0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7" fillId="2" borderId="0" xfId="0" applyNumberFormat="1" applyFont="1" applyFill="1" applyBorder="1" applyAlignment="1" applyProtection="1">
      <alignment horizontal="left" vertical="center"/>
    </xf>
    <xf numFmtId="49" fontId="14" fillId="0" borderId="0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11" fillId="0" borderId="0" xfId="0" applyNumberFormat="1" applyFont="1" applyFill="1" applyBorder="1" applyAlignment="1" applyProtection="1">
      <alignment horizontal="left" vertical="top"/>
    </xf>
    <xf numFmtId="49" fontId="3" fillId="0" borderId="32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left" vertical="center"/>
    </xf>
    <xf numFmtId="49" fontId="7" fillId="2" borderId="6" xfId="0" applyNumberFormat="1" applyFont="1" applyFill="1" applyBorder="1" applyAlignment="1" applyProtection="1">
      <alignment horizontal="left" vertical="center"/>
    </xf>
    <xf numFmtId="0" fontId="7" fillId="2" borderId="6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0</xdr:row>
      <xdr:rowOff>885825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33450" cy="8858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33450" cy="8858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152400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104900" cy="8858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180975</xdr:colOff>
      <xdr:row>0</xdr:row>
      <xdr:rowOff>885825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334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workbookViewId="0">
      <selection activeCell="C22" sqref="C22"/>
    </sheetView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>
      <c r="A1" s="80"/>
      <c r="B1" s="40"/>
      <c r="C1" s="111" t="s">
        <v>837</v>
      </c>
      <c r="D1" s="112"/>
      <c r="E1" s="112"/>
      <c r="F1" s="112"/>
      <c r="G1" s="112"/>
      <c r="H1" s="112"/>
      <c r="I1" s="112"/>
    </row>
    <row r="2" spans="1:10">
      <c r="A2" s="113" t="s">
        <v>1</v>
      </c>
      <c r="B2" s="114"/>
      <c r="C2" s="115" t="str">
        <f>'Stavební rozpočet'!D2</f>
        <v>REVITALIZACE ZELENĚ A ÚPRAVA ZPEVNĚNÝCH PLOCH ZŠ MĚSTO ALBRECHTICE</v>
      </c>
      <c r="D2" s="116"/>
      <c r="E2" s="118" t="s">
        <v>647</v>
      </c>
      <c r="F2" s="118" t="str">
        <f>'Stavební rozpočet'!I2</f>
        <v>Město Albrechtice</v>
      </c>
      <c r="G2" s="114"/>
      <c r="H2" s="118" t="s">
        <v>861</v>
      </c>
      <c r="I2" s="119" t="s">
        <v>865</v>
      </c>
      <c r="J2" s="7"/>
    </row>
    <row r="3" spans="1:10" ht="25.7" customHeight="1">
      <c r="A3" s="108"/>
      <c r="B3" s="82"/>
      <c r="C3" s="117"/>
      <c r="D3" s="117"/>
      <c r="E3" s="82"/>
      <c r="F3" s="82"/>
      <c r="G3" s="82"/>
      <c r="H3" s="82"/>
      <c r="I3" s="110"/>
      <c r="J3" s="7"/>
    </row>
    <row r="4" spans="1:10">
      <c r="A4" s="102" t="s">
        <v>2</v>
      </c>
      <c r="B4" s="82"/>
      <c r="C4" s="81" t="str">
        <f>'Stavební rozpočet'!D4</f>
        <v xml:space="preserve"> </v>
      </c>
      <c r="D4" s="82"/>
      <c r="E4" s="81" t="s">
        <v>648</v>
      </c>
      <c r="F4" s="81" t="str">
        <f>'Stavební rozpočet'!I4</f>
        <v xml:space="preserve">Ing. Grigorios Akritidis_x000D_
</v>
      </c>
      <c r="G4" s="82"/>
      <c r="H4" s="81" t="s">
        <v>861</v>
      </c>
      <c r="I4" s="109" t="s">
        <v>866</v>
      </c>
      <c r="J4" s="7"/>
    </row>
    <row r="5" spans="1:10">
      <c r="A5" s="108"/>
      <c r="B5" s="82"/>
      <c r="C5" s="82"/>
      <c r="D5" s="82"/>
      <c r="E5" s="82"/>
      <c r="F5" s="82"/>
      <c r="G5" s="82"/>
      <c r="H5" s="82"/>
      <c r="I5" s="110"/>
      <c r="J5" s="7"/>
    </row>
    <row r="6" spans="1:10">
      <c r="A6" s="102" t="s">
        <v>3</v>
      </c>
      <c r="B6" s="82"/>
      <c r="C6" s="81" t="str">
        <f>'Stavební rozpočet'!D6</f>
        <v>Město Albrechtice</v>
      </c>
      <c r="D6" s="82"/>
      <c r="E6" s="81" t="s">
        <v>649</v>
      </c>
      <c r="F6" s="81" t="str">
        <f>'Stavební rozpočet'!I6</f>
        <v> </v>
      </c>
      <c r="G6" s="82"/>
      <c r="H6" s="81" t="s">
        <v>861</v>
      </c>
      <c r="I6" s="109"/>
      <c r="J6" s="7"/>
    </row>
    <row r="7" spans="1:10">
      <c r="A7" s="108"/>
      <c r="B7" s="82"/>
      <c r="C7" s="82"/>
      <c r="D7" s="82"/>
      <c r="E7" s="82"/>
      <c r="F7" s="82"/>
      <c r="G7" s="82"/>
      <c r="H7" s="82"/>
      <c r="I7" s="110"/>
      <c r="J7" s="7"/>
    </row>
    <row r="8" spans="1:10">
      <c r="A8" s="102" t="s">
        <v>630</v>
      </c>
      <c r="B8" s="82"/>
      <c r="C8" s="81" t="str">
        <f>'Stavební rozpočet'!G4</f>
        <v xml:space="preserve"> </v>
      </c>
      <c r="D8" s="82"/>
      <c r="E8" s="81" t="s">
        <v>631</v>
      </c>
      <c r="F8" s="81" t="str">
        <f>'Stavební rozpočet'!G6</f>
        <v xml:space="preserve"> </v>
      </c>
      <c r="G8" s="82"/>
      <c r="H8" s="105" t="s">
        <v>862</v>
      </c>
      <c r="I8" s="109" t="s">
        <v>222</v>
      </c>
      <c r="J8" s="7"/>
    </row>
    <row r="9" spans="1:10">
      <c r="A9" s="108"/>
      <c r="B9" s="82"/>
      <c r="C9" s="82"/>
      <c r="D9" s="82"/>
      <c r="E9" s="82"/>
      <c r="F9" s="82"/>
      <c r="G9" s="82"/>
      <c r="H9" s="82"/>
      <c r="I9" s="110"/>
      <c r="J9" s="7"/>
    </row>
    <row r="10" spans="1:10">
      <c r="A10" s="102" t="s">
        <v>4</v>
      </c>
      <c r="B10" s="82"/>
      <c r="C10" s="81" t="str">
        <f>'Stavební rozpočet'!D8</f>
        <v xml:space="preserve"> </v>
      </c>
      <c r="D10" s="82"/>
      <c r="E10" s="81" t="s">
        <v>650</v>
      </c>
      <c r="F10" s="81" t="str">
        <f>'Stavební rozpočet'!I8</f>
        <v>Kamil Beck</v>
      </c>
      <c r="G10" s="82"/>
      <c r="H10" s="105" t="s">
        <v>863</v>
      </c>
      <c r="I10" s="106" t="str">
        <f>'Stavební rozpočet'!G8</f>
        <v>02.08.2019</v>
      </c>
      <c r="J10" s="7"/>
    </row>
    <row r="11" spans="1:10">
      <c r="A11" s="103"/>
      <c r="B11" s="104"/>
      <c r="C11" s="104"/>
      <c r="D11" s="104"/>
      <c r="E11" s="104"/>
      <c r="F11" s="104"/>
      <c r="G11" s="104"/>
      <c r="H11" s="104"/>
      <c r="I11" s="107"/>
      <c r="J11" s="7"/>
    </row>
    <row r="12" spans="1:10" ht="23.45" customHeight="1">
      <c r="A12" s="98" t="s">
        <v>822</v>
      </c>
      <c r="B12" s="99"/>
      <c r="C12" s="99"/>
      <c r="D12" s="99"/>
      <c r="E12" s="99"/>
      <c r="F12" s="99"/>
      <c r="G12" s="99"/>
      <c r="H12" s="99"/>
      <c r="I12" s="99"/>
    </row>
    <row r="13" spans="1:10" ht="26.45" customHeight="1">
      <c r="A13" s="41" t="s">
        <v>823</v>
      </c>
      <c r="B13" s="100" t="s">
        <v>835</v>
      </c>
      <c r="C13" s="101"/>
      <c r="D13" s="41" t="s">
        <v>838</v>
      </c>
      <c r="E13" s="100" t="s">
        <v>847</v>
      </c>
      <c r="F13" s="101"/>
      <c r="G13" s="41" t="s">
        <v>848</v>
      </c>
      <c r="H13" s="100" t="s">
        <v>864</v>
      </c>
      <c r="I13" s="101"/>
      <c r="J13" s="7"/>
    </row>
    <row r="14" spans="1:10" ht="15.2" customHeight="1">
      <c r="A14" s="42" t="s">
        <v>824</v>
      </c>
      <c r="B14" s="46" t="s">
        <v>836</v>
      </c>
      <c r="C14" s="50">
        <f>SUM('Stavební rozpočet'!AB12:AB359)</f>
        <v>1380812.7927876178</v>
      </c>
      <c r="D14" s="96" t="s">
        <v>839</v>
      </c>
      <c r="E14" s="97"/>
      <c r="F14" s="50">
        <v>0</v>
      </c>
      <c r="G14" s="96" t="s">
        <v>412</v>
      </c>
      <c r="H14" s="97"/>
      <c r="I14" s="50">
        <v>0</v>
      </c>
      <c r="J14" s="7"/>
    </row>
    <row r="15" spans="1:10" ht="15.2" customHeight="1">
      <c r="A15" s="43"/>
      <c r="B15" s="46" t="s">
        <v>665</v>
      </c>
      <c r="C15" s="50">
        <f>SUM('Stavební rozpočet'!AC12:AC359)</f>
        <v>1859076.3645323822</v>
      </c>
      <c r="D15" s="96" t="s">
        <v>840</v>
      </c>
      <c r="E15" s="97"/>
      <c r="F15" s="50">
        <v>0</v>
      </c>
      <c r="G15" s="96" t="s">
        <v>849</v>
      </c>
      <c r="H15" s="97"/>
      <c r="I15" s="50">
        <v>0</v>
      </c>
      <c r="J15" s="7"/>
    </row>
    <row r="16" spans="1:10" ht="15.2" customHeight="1">
      <c r="A16" s="42" t="s">
        <v>825</v>
      </c>
      <c r="B16" s="46" t="s">
        <v>836</v>
      </c>
      <c r="C16" s="50">
        <f>SUM('Stavební rozpočet'!AD12:AD359)</f>
        <v>320669.18990909762</v>
      </c>
      <c r="D16" s="96" t="s">
        <v>841</v>
      </c>
      <c r="E16" s="97"/>
      <c r="F16" s="50">
        <v>0</v>
      </c>
      <c r="G16" s="96" t="s">
        <v>850</v>
      </c>
      <c r="H16" s="97"/>
      <c r="I16" s="50">
        <v>0</v>
      </c>
      <c r="J16" s="7"/>
    </row>
    <row r="17" spans="1:10" ht="15.2" customHeight="1">
      <c r="A17" s="43"/>
      <c r="B17" s="46" t="s">
        <v>665</v>
      </c>
      <c r="C17" s="50">
        <f>SUM('Stavební rozpočet'!AE12:AE359)</f>
        <v>288520.58974540234</v>
      </c>
      <c r="D17" s="96"/>
      <c r="E17" s="97"/>
      <c r="F17" s="51"/>
      <c r="G17" s="96" t="s">
        <v>851</v>
      </c>
      <c r="H17" s="97"/>
      <c r="I17" s="50">
        <v>0</v>
      </c>
      <c r="J17" s="7"/>
    </row>
    <row r="18" spans="1:10" ht="15.2" customHeight="1">
      <c r="A18" s="42" t="s">
        <v>826</v>
      </c>
      <c r="B18" s="46" t="s">
        <v>836</v>
      </c>
      <c r="C18" s="50">
        <f>SUM('Stavební rozpočet'!AF12:AF359)</f>
        <v>201.34800000000004</v>
      </c>
      <c r="D18" s="96"/>
      <c r="E18" s="97"/>
      <c r="F18" s="51"/>
      <c r="G18" s="96" t="s">
        <v>852</v>
      </c>
      <c r="H18" s="97"/>
      <c r="I18" s="50">
        <v>0</v>
      </c>
      <c r="J18" s="7"/>
    </row>
    <row r="19" spans="1:10" ht="15.2" customHeight="1">
      <c r="A19" s="43"/>
      <c r="B19" s="46" t="s">
        <v>665</v>
      </c>
      <c r="C19" s="50">
        <f>SUM('Stavební rozpočet'!AG12:AG359)</f>
        <v>428.5019999999999</v>
      </c>
      <c r="D19" s="96"/>
      <c r="E19" s="97"/>
      <c r="F19" s="51"/>
      <c r="G19" s="96" t="s">
        <v>853</v>
      </c>
      <c r="H19" s="97"/>
      <c r="I19" s="50">
        <v>0</v>
      </c>
      <c r="J19" s="7"/>
    </row>
    <row r="20" spans="1:10" ht="15.2" customHeight="1">
      <c r="A20" s="94" t="s">
        <v>827</v>
      </c>
      <c r="B20" s="95"/>
      <c r="C20" s="50">
        <f>SUM('Stavební rozpočet'!AH12:AH359)</f>
        <v>0</v>
      </c>
      <c r="D20" s="96"/>
      <c r="E20" s="97"/>
      <c r="F20" s="51"/>
      <c r="G20" s="96"/>
      <c r="H20" s="97"/>
      <c r="I20" s="51"/>
      <c r="J20" s="7"/>
    </row>
    <row r="21" spans="1:10" ht="15.2" customHeight="1">
      <c r="A21" s="94" t="s">
        <v>828</v>
      </c>
      <c r="B21" s="95"/>
      <c r="C21" s="50">
        <f>SUM('Stavební rozpočet'!Z12:Z359)</f>
        <v>1273119.4401240002</v>
      </c>
      <c r="D21" s="96"/>
      <c r="E21" s="97"/>
      <c r="F21" s="51"/>
      <c r="G21" s="96"/>
      <c r="H21" s="97"/>
      <c r="I21" s="51"/>
      <c r="J21" s="7"/>
    </row>
    <row r="22" spans="1:10" ht="16.7" customHeight="1">
      <c r="A22" s="94" t="s">
        <v>829</v>
      </c>
      <c r="B22" s="95"/>
      <c r="C22" s="50">
        <f>SUM(C14:C21)</f>
        <v>5122828.2270985004</v>
      </c>
      <c r="D22" s="94" t="s">
        <v>842</v>
      </c>
      <c r="E22" s="95"/>
      <c r="F22" s="50">
        <f>SUM(F14:F21)</f>
        <v>0</v>
      </c>
      <c r="G22" s="94" t="s">
        <v>854</v>
      </c>
      <c r="H22" s="95"/>
      <c r="I22" s="50">
        <f>SUM(I14:I21)</f>
        <v>0</v>
      </c>
      <c r="J22" s="7"/>
    </row>
    <row r="23" spans="1:10" ht="15.2" customHeight="1">
      <c r="A23" s="15"/>
      <c r="B23" s="15"/>
      <c r="C23" s="48"/>
      <c r="D23" s="94" t="s">
        <v>843</v>
      </c>
      <c r="E23" s="95"/>
      <c r="F23" s="52">
        <v>0</v>
      </c>
      <c r="G23" s="94" t="s">
        <v>855</v>
      </c>
      <c r="H23" s="95"/>
      <c r="I23" s="50">
        <v>0</v>
      </c>
      <c r="J23" s="7"/>
    </row>
    <row r="24" spans="1:10" ht="15.2" customHeight="1">
      <c r="D24" s="15"/>
      <c r="E24" s="15"/>
      <c r="F24" s="53"/>
      <c r="G24" s="94" t="s">
        <v>856</v>
      </c>
      <c r="H24" s="95"/>
      <c r="I24" s="50">
        <v>0</v>
      </c>
      <c r="J24" s="7"/>
    </row>
    <row r="25" spans="1:10" ht="15.2" customHeight="1">
      <c r="F25" s="54"/>
      <c r="G25" s="94" t="s">
        <v>857</v>
      </c>
      <c r="H25" s="95"/>
      <c r="I25" s="50">
        <v>0</v>
      </c>
      <c r="J25" s="7"/>
    </row>
    <row r="26" spans="1:10">
      <c r="A26" s="40"/>
      <c r="B26" s="40"/>
      <c r="C26" s="40"/>
      <c r="G26" s="15"/>
      <c r="H26" s="15"/>
      <c r="I26" s="15"/>
    </row>
    <row r="27" spans="1:10" ht="15.2" customHeight="1">
      <c r="A27" s="89" t="s">
        <v>830</v>
      </c>
      <c r="B27" s="90"/>
      <c r="C27" s="55">
        <f>SUM('Stavební rozpočet'!AJ12:AJ359)</f>
        <v>0</v>
      </c>
      <c r="D27" s="49"/>
      <c r="E27" s="40"/>
      <c r="F27" s="40"/>
      <c r="G27" s="40"/>
      <c r="H27" s="40"/>
      <c r="I27" s="40"/>
    </row>
    <row r="28" spans="1:10" ht="15.2" customHeight="1">
      <c r="A28" s="89" t="s">
        <v>831</v>
      </c>
      <c r="B28" s="90"/>
      <c r="C28" s="55">
        <f>SUM('Stavební rozpočet'!AK12:AK359)</f>
        <v>0</v>
      </c>
      <c r="D28" s="89" t="s">
        <v>844</v>
      </c>
      <c r="E28" s="90"/>
      <c r="F28" s="55">
        <f>ROUND(C28*(15/100),2)</f>
        <v>0</v>
      </c>
      <c r="G28" s="89" t="s">
        <v>858</v>
      </c>
      <c r="H28" s="90"/>
      <c r="I28" s="55">
        <f>SUM(C27:C29)</f>
        <v>5122828.2270984985</v>
      </c>
      <c r="J28" s="7"/>
    </row>
    <row r="29" spans="1:10" ht="15.2" customHeight="1">
      <c r="A29" s="89" t="s">
        <v>832</v>
      </c>
      <c r="B29" s="90"/>
      <c r="C29" s="55">
        <f>SUM('Stavební rozpočet'!AL12:AL359)+(F22+I22+F23+I23+I24+I25)</f>
        <v>5122828.2270984985</v>
      </c>
      <c r="D29" s="89" t="s">
        <v>845</v>
      </c>
      <c r="E29" s="90"/>
      <c r="F29" s="55">
        <f>ROUND(C29*(21/100),2)</f>
        <v>1075793.93</v>
      </c>
      <c r="G29" s="89" t="s">
        <v>859</v>
      </c>
      <c r="H29" s="90"/>
      <c r="I29" s="55">
        <f>SUM(F28:F29)+I28</f>
        <v>6198622.1570984982</v>
      </c>
      <c r="J29" s="7"/>
    </row>
    <row r="30" spans="1:10">
      <c r="A30" s="44"/>
      <c r="B30" s="44"/>
      <c r="C30" s="44"/>
      <c r="D30" s="44"/>
      <c r="E30" s="44"/>
      <c r="F30" s="44"/>
      <c r="G30" s="44"/>
      <c r="H30" s="44"/>
      <c r="I30" s="44"/>
    </row>
    <row r="31" spans="1:10" ht="14.45" customHeight="1">
      <c r="A31" s="91" t="s">
        <v>833</v>
      </c>
      <c r="B31" s="92"/>
      <c r="C31" s="93"/>
      <c r="D31" s="91" t="s">
        <v>846</v>
      </c>
      <c r="E31" s="92"/>
      <c r="F31" s="93"/>
      <c r="G31" s="91" t="s">
        <v>860</v>
      </c>
      <c r="H31" s="92"/>
      <c r="I31" s="93"/>
      <c r="J31" s="21"/>
    </row>
    <row r="32" spans="1:10" ht="14.45" customHeight="1">
      <c r="A32" s="83"/>
      <c r="B32" s="84"/>
      <c r="C32" s="85"/>
      <c r="D32" s="83"/>
      <c r="E32" s="84"/>
      <c r="F32" s="85"/>
      <c r="G32" s="83"/>
      <c r="H32" s="84"/>
      <c r="I32" s="85"/>
      <c r="J32" s="21"/>
    </row>
    <row r="33" spans="1:10" ht="14.45" customHeight="1">
      <c r="A33" s="83"/>
      <c r="B33" s="84"/>
      <c r="C33" s="85"/>
      <c r="D33" s="83"/>
      <c r="E33" s="84"/>
      <c r="F33" s="85"/>
      <c r="G33" s="83"/>
      <c r="H33" s="84"/>
      <c r="I33" s="85"/>
      <c r="J33" s="21"/>
    </row>
    <row r="34" spans="1:10" ht="14.45" customHeight="1">
      <c r="A34" s="83"/>
      <c r="B34" s="84"/>
      <c r="C34" s="85"/>
      <c r="D34" s="83"/>
      <c r="E34" s="84"/>
      <c r="F34" s="85"/>
      <c r="G34" s="83"/>
      <c r="H34" s="84"/>
      <c r="I34" s="85"/>
      <c r="J34" s="21"/>
    </row>
    <row r="35" spans="1:10" ht="14.45" customHeight="1">
      <c r="A35" s="86" t="s">
        <v>834</v>
      </c>
      <c r="B35" s="87"/>
      <c r="C35" s="88"/>
      <c r="D35" s="86" t="s">
        <v>834</v>
      </c>
      <c r="E35" s="87"/>
      <c r="F35" s="88"/>
      <c r="G35" s="86" t="s">
        <v>834</v>
      </c>
      <c r="H35" s="87"/>
      <c r="I35" s="88"/>
      <c r="J35" s="21"/>
    </row>
    <row r="36" spans="1:10" ht="11.25" customHeight="1">
      <c r="A36" s="45" t="s">
        <v>660</v>
      </c>
      <c r="B36" s="47"/>
      <c r="C36" s="47"/>
      <c r="D36" s="47"/>
      <c r="E36" s="47"/>
      <c r="F36" s="47"/>
      <c r="G36" s="47"/>
      <c r="H36" s="47"/>
      <c r="I36" s="47"/>
    </row>
    <row r="37" spans="1:10" ht="51.4" customHeight="1">
      <c r="A37" s="81" t="s">
        <v>661</v>
      </c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"/>
  <sheetViews>
    <sheetView workbookViewId="0">
      <pane ySplit="11" topLeftCell="A12" activePane="bottomLeft" state="frozenSplit"/>
      <selection pane="bottomLeft" sqref="A1:L1"/>
    </sheetView>
  </sheetViews>
  <sheetFormatPr defaultColWidth="11.5703125" defaultRowHeight="12.75"/>
  <cols>
    <col min="1" max="1" width="6.85546875" customWidth="1"/>
    <col min="2" max="2" width="4.570312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11" width="14.28515625" customWidth="1"/>
    <col min="12" max="12" width="11.7109375" customWidth="1"/>
    <col min="13" max="16" width="12.140625" hidden="1" customWidth="1"/>
  </cols>
  <sheetData>
    <row r="1" spans="1:16" ht="72.95" customHeight="1">
      <c r="A1" s="135" t="s">
        <v>670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6">
      <c r="A2" s="113" t="s">
        <v>1</v>
      </c>
      <c r="B2" s="114"/>
      <c r="C2" s="114"/>
      <c r="D2" s="115" t="str">
        <f>'Stavební rozpočet'!D2</f>
        <v>REVITALIZACE ZELENĚ A ÚPRAVA ZPEVNĚNÝCH PLOCH ZŠ MĚSTO ALBRECHTICE</v>
      </c>
      <c r="E2" s="118" t="s">
        <v>629</v>
      </c>
      <c r="F2" s="114"/>
      <c r="G2" s="118" t="str">
        <f>'Stavební rozpočet'!G2</f>
        <v xml:space="preserve"> </v>
      </c>
      <c r="H2" s="114"/>
      <c r="I2" s="118" t="s">
        <v>647</v>
      </c>
      <c r="J2" s="118" t="str">
        <f>'Stavební rozpočet'!I2</f>
        <v>Město Albrechtice</v>
      </c>
      <c r="K2" s="114"/>
      <c r="L2" s="136"/>
      <c r="M2" s="7"/>
    </row>
    <row r="3" spans="1:16" ht="25.7" customHeight="1">
      <c r="A3" s="108"/>
      <c r="B3" s="82"/>
      <c r="C3" s="82"/>
      <c r="D3" s="117"/>
      <c r="E3" s="82"/>
      <c r="F3" s="82"/>
      <c r="G3" s="82"/>
      <c r="H3" s="82"/>
      <c r="I3" s="82"/>
      <c r="J3" s="82"/>
      <c r="K3" s="82"/>
      <c r="L3" s="110"/>
      <c r="M3" s="7"/>
    </row>
    <row r="4" spans="1:16">
      <c r="A4" s="102" t="s">
        <v>2</v>
      </c>
      <c r="B4" s="82"/>
      <c r="C4" s="82"/>
      <c r="D4" s="81" t="str">
        <f>'Stavební rozpočet'!D4</f>
        <v xml:space="preserve"> </v>
      </c>
      <c r="E4" s="81" t="s">
        <v>630</v>
      </c>
      <c r="F4" s="82"/>
      <c r="G4" s="81" t="str">
        <f>'Stavební rozpočet'!G4</f>
        <v xml:space="preserve"> </v>
      </c>
      <c r="H4" s="82"/>
      <c r="I4" s="81" t="s">
        <v>648</v>
      </c>
      <c r="J4" s="81" t="str">
        <f>'Stavební rozpočet'!I4</f>
        <v xml:space="preserve">Ing. Grigorios Akritidis_x000D_
</v>
      </c>
      <c r="K4" s="82"/>
      <c r="L4" s="110"/>
      <c r="M4" s="7"/>
    </row>
    <row r="5" spans="1:16">
      <c r="A5" s="108"/>
      <c r="B5" s="82"/>
      <c r="C5" s="82"/>
      <c r="D5" s="82"/>
      <c r="E5" s="82"/>
      <c r="F5" s="82"/>
      <c r="G5" s="82"/>
      <c r="H5" s="82"/>
      <c r="I5" s="82"/>
      <c r="J5" s="82"/>
      <c r="K5" s="82"/>
      <c r="L5" s="110"/>
      <c r="M5" s="7"/>
    </row>
    <row r="6" spans="1:16">
      <c r="A6" s="102" t="s">
        <v>3</v>
      </c>
      <c r="B6" s="82"/>
      <c r="C6" s="82"/>
      <c r="D6" s="81" t="str">
        <f>'Stavební rozpočet'!D6</f>
        <v>Město Albrechtice</v>
      </c>
      <c r="E6" s="81" t="s">
        <v>631</v>
      </c>
      <c r="F6" s="82"/>
      <c r="G6" s="81" t="str">
        <f>'Stavební rozpočet'!G6</f>
        <v xml:space="preserve"> </v>
      </c>
      <c r="H6" s="82"/>
      <c r="I6" s="81" t="s">
        <v>649</v>
      </c>
      <c r="J6" s="81" t="str">
        <f>'Stavební rozpočet'!I6</f>
        <v> </v>
      </c>
      <c r="K6" s="82"/>
      <c r="L6" s="110"/>
      <c r="M6" s="7"/>
    </row>
    <row r="7" spans="1:16">
      <c r="A7" s="108"/>
      <c r="B7" s="82"/>
      <c r="C7" s="82"/>
      <c r="D7" s="82"/>
      <c r="E7" s="82"/>
      <c r="F7" s="82"/>
      <c r="G7" s="82"/>
      <c r="H7" s="82"/>
      <c r="I7" s="82"/>
      <c r="J7" s="82"/>
      <c r="K7" s="82"/>
      <c r="L7" s="110"/>
      <c r="M7" s="7"/>
    </row>
    <row r="8" spans="1:16">
      <c r="A8" s="102" t="s">
        <v>4</v>
      </c>
      <c r="B8" s="82"/>
      <c r="C8" s="82"/>
      <c r="D8" s="81" t="str">
        <f>'Stavební rozpočet'!D8</f>
        <v xml:space="preserve"> </v>
      </c>
      <c r="E8" s="81" t="s">
        <v>632</v>
      </c>
      <c r="F8" s="82"/>
      <c r="G8" s="81" t="str">
        <f>'Stavební rozpočet'!G8</f>
        <v>02.08.2019</v>
      </c>
      <c r="H8" s="82"/>
      <c r="I8" s="81" t="s">
        <v>650</v>
      </c>
      <c r="J8" s="81" t="str">
        <f>'Stavební rozpočet'!I8</f>
        <v>Kamil Beck</v>
      </c>
      <c r="K8" s="82"/>
      <c r="L8" s="110"/>
      <c r="M8" s="7"/>
    </row>
    <row r="9" spans="1:16">
      <c r="A9" s="132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4"/>
      <c r="M9" s="7"/>
    </row>
    <row r="10" spans="1:16">
      <c r="A10" s="11" t="s">
        <v>6</v>
      </c>
      <c r="B10" s="120" t="s">
        <v>6</v>
      </c>
      <c r="C10" s="121"/>
      <c r="D10" s="121"/>
      <c r="E10" s="121"/>
      <c r="F10" s="121"/>
      <c r="G10" s="121"/>
      <c r="H10" s="122"/>
      <c r="I10" s="123" t="s">
        <v>663</v>
      </c>
      <c r="J10" s="124"/>
      <c r="K10" s="125"/>
      <c r="L10" s="19" t="s">
        <v>667</v>
      </c>
      <c r="M10" s="21"/>
    </row>
    <row r="11" spans="1:16">
      <c r="A11" s="12" t="s">
        <v>657</v>
      </c>
      <c r="B11" s="126" t="s">
        <v>662</v>
      </c>
      <c r="C11" s="127"/>
      <c r="D11" s="127"/>
      <c r="E11" s="127"/>
      <c r="F11" s="127"/>
      <c r="G11" s="127"/>
      <c r="H11" s="128"/>
      <c r="I11" s="17" t="s">
        <v>664</v>
      </c>
      <c r="J11" s="18" t="s">
        <v>665</v>
      </c>
      <c r="K11" s="18" t="s">
        <v>666</v>
      </c>
      <c r="L11" s="20" t="s">
        <v>666</v>
      </c>
      <c r="M11" s="21"/>
    </row>
    <row r="12" spans="1:16">
      <c r="A12" s="13" t="s">
        <v>658</v>
      </c>
      <c r="B12" s="129" t="s">
        <v>410</v>
      </c>
      <c r="C12" s="121"/>
      <c r="D12" s="121"/>
      <c r="E12" s="121"/>
      <c r="F12" s="121"/>
      <c r="G12" s="121"/>
      <c r="H12" s="121"/>
      <c r="I12" s="23">
        <f>'Stavební rozpočet'!H12</f>
        <v>1289753.0077028852</v>
      </c>
      <c r="J12" s="23">
        <f>'Stavební rozpočet'!I12</f>
        <v>2691654.1714716149</v>
      </c>
      <c r="K12" s="23">
        <f>'Stavební rozpočet'!J12</f>
        <v>3981407.1791745005</v>
      </c>
      <c r="L12" s="23">
        <f>'Stavební rozpočet'!L12</f>
        <v>2110.6276726540004</v>
      </c>
      <c r="M12" s="22" t="s">
        <v>668</v>
      </c>
      <c r="N12" s="22">
        <f>IF(M12="F",0,K12)</f>
        <v>0</v>
      </c>
      <c r="O12" s="4" t="s">
        <v>658</v>
      </c>
      <c r="P12" s="22">
        <f>IF(M12="T",0,K12)</f>
        <v>3981407.1791745005</v>
      </c>
    </row>
    <row r="13" spans="1:16">
      <c r="A13" s="14" t="s">
        <v>659</v>
      </c>
      <c r="B13" s="130" t="s">
        <v>622</v>
      </c>
      <c r="C13" s="104"/>
      <c r="D13" s="104"/>
      <c r="E13" s="104"/>
      <c r="F13" s="104"/>
      <c r="G13" s="104"/>
      <c r="H13" s="104"/>
      <c r="I13" s="24">
        <f>'Stavební rozpočet'!H282</f>
        <v>411930.32299383014</v>
      </c>
      <c r="J13" s="24">
        <f>'Stavební rozpočet'!I282</f>
        <v>729490.72493016976</v>
      </c>
      <c r="K13" s="24">
        <f>'Stavební rozpočet'!J282</f>
        <v>1141421.0479239998</v>
      </c>
      <c r="L13" s="24">
        <f>'Stavební rozpočet'!L282</f>
        <v>821.19666999999993</v>
      </c>
      <c r="M13" s="22" t="s">
        <v>668</v>
      </c>
      <c r="N13" s="22">
        <f>IF(M13="F",0,K13)</f>
        <v>0</v>
      </c>
      <c r="O13" s="4" t="s">
        <v>659</v>
      </c>
      <c r="P13" s="22">
        <f>IF(M13="T",0,K13)</f>
        <v>1141421.0479239998</v>
      </c>
    </row>
    <row r="14" spans="1:16">
      <c r="A14" s="15"/>
      <c r="B14" s="15"/>
      <c r="C14" s="15"/>
      <c r="D14" s="15"/>
      <c r="E14" s="15"/>
      <c r="F14" s="15"/>
      <c r="G14" s="15"/>
      <c r="H14" s="15"/>
      <c r="I14" s="131" t="s">
        <v>646</v>
      </c>
      <c r="J14" s="116"/>
      <c r="K14" s="25">
        <f>SUM(P12:P13)</f>
        <v>5122828.2270985004</v>
      </c>
      <c r="L14" s="15"/>
    </row>
    <row r="15" spans="1:16" ht="11.25" customHeight="1">
      <c r="A15" s="16" t="s">
        <v>660</v>
      </c>
    </row>
    <row r="16" spans="1:16" ht="51.4" customHeight="1">
      <c r="A16" s="81" t="s">
        <v>661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</row>
  </sheetData>
  <mergeCells count="32">
    <mergeCell ref="J4:L5"/>
    <mergeCell ref="A1:L1"/>
    <mergeCell ref="A2:C3"/>
    <mergeCell ref="D2:D3"/>
    <mergeCell ref="E2:F3"/>
    <mergeCell ref="G2:H3"/>
    <mergeCell ref="I2:I3"/>
    <mergeCell ref="J2:L3"/>
    <mergeCell ref="A4:C5"/>
    <mergeCell ref="D4:D5"/>
    <mergeCell ref="E4:F5"/>
    <mergeCell ref="G4:H5"/>
    <mergeCell ref="I4:I5"/>
    <mergeCell ref="J8:L9"/>
    <mergeCell ref="A6:C7"/>
    <mergeCell ref="D6:D7"/>
    <mergeCell ref="E6:F7"/>
    <mergeCell ref="G6:H7"/>
    <mergeCell ref="I6:I7"/>
    <mergeCell ref="J6:L7"/>
    <mergeCell ref="A8:C9"/>
    <mergeCell ref="D8:D9"/>
    <mergeCell ref="E8:F9"/>
    <mergeCell ref="G8:H9"/>
    <mergeCell ref="I8:I9"/>
    <mergeCell ref="A16:K16"/>
    <mergeCell ref="B10:H10"/>
    <mergeCell ref="I10:K10"/>
    <mergeCell ref="B11:H11"/>
    <mergeCell ref="B12:H12"/>
    <mergeCell ref="B13:H13"/>
    <mergeCell ref="I14:J14"/>
  </mergeCells>
  <pageMargins left="0.39400000000000002" right="0.39400000000000002" top="0.59099999999999997" bottom="0.59099999999999997" header="0.5" footer="0.5"/>
  <pageSetup paperSize="9" scale="61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workbookViewId="0">
      <pane ySplit="11" topLeftCell="A27" activePane="bottomLeft" state="frozenSplit"/>
      <selection pane="bottomLeft" sqref="A1:L1"/>
    </sheetView>
  </sheetViews>
  <sheetFormatPr defaultColWidth="11.5703125" defaultRowHeight="12.75"/>
  <cols>
    <col min="1" max="1" width="6.85546875" customWidth="1"/>
    <col min="2" max="2" width="4.570312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11" width="14.28515625" customWidth="1"/>
    <col min="12" max="12" width="11.7109375" customWidth="1"/>
    <col min="13" max="16" width="12.140625" hidden="1" customWidth="1"/>
  </cols>
  <sheetData>
    <row r="1" spans="1:16" ht="72.95" customHeight="1">
      <c r="A1" s="135" t="s">
        <v>656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6">
      <c r="A2" s="113" t="s">
        <v>1</v>
      </c>
      <c r="B2" s="114"/>
      <c r="C2" s="114"/>
      <c r="D2" s="115" t="str">
        <f>'Stavební rozpočet'!D2</f>
        <v>REVITALIZACE ZELENĚ A ÚPRAVA ZPEVNĚNÝCH PLOCH ZŠ MĚSTO ALBRECHTICE</v>
      </c>
      <c r="E2" s="118" t="s">
        <v>629</v>
      </c>
      <c r="F2" s="114"/>
      <c r="G2" s="118" t="str">
        <f>'Stavební rozpočet'!G2</f>
        <v xml:space="preserve"> </v>
      </c>
      <c r="H2" s="114"/>
      <c r="I2" s="118" t="s">
        <v>647</v>
      </c>
      <c r="J2" s="118" t="str">
        <f>'Stavební rozpočet'!I2</f>
        <v>Město Albrechtice</v>
      </c>
      <c r="K2" s="114"/>
      <c r="L2" s="136"/>
      <c r="M2" s="7"/>
    </row>
    <row r="3" spans="1:16" ht="25.7" customHeight="1">
      <c r="A3" s="108"/>
      <c r="B3" s="82"/>
      <c r="C3" s="82"/>
      <c r="D3" s="117"/>
      <c r="E3" s="82"/>
      <c r="F3" s="82"/>
      <c r="G3" s="82"/>
      <c r="H3" s="82"/>
      <c r="I3" s="82"/>
      <c r="J3" s="82"/>
      <c r="K3" s="82"/>
      <c r="L3" s="110"/>
      <c r="M3" s="7"/>
    </row>
    <row r="4" spans="1:16">
      <c r="A4" s="102" t="s">
        <v>2</v>
      </c>
      <c r="B4" s="82"/>
      <c r="C4" s="82"/>
      <c r="D4" s="81" t="str">
        <f>'Stavební rozpočet'!D4</f>
        <v xml:space="preserve"> </v>
      </c>
      <c r="E4" s="81" t="s">
        <v>630</v>
      </c>
      <c r="F4" s="82"/>
      <c r="G4" s="81" t="str">
        <f>'Stavební rozpočet'!G4</f>
        <v xml:space="preserve"> </v>
      </c>
      <c r="H4" s="82"/>
      <c r="I4" s="81" t="s">
        <v>648</v>
      </c>
      <c r="J4" s="81" t="str">
        <f>'Stavební rozpočet'!I4</f>
        <v xml:space="preserve">Ing. Grigorios Akritidis_x000D_
</v>
      </c>
      <c r="K4" s="82"/>
      <c r="L4" s="110"/>
      <c r="M4" s="7"/>
    </row>
    <row r="5" spans="1:16">
      <c r="A5" s="108"/>
      <c r="B5" s="82"/>
      <c r="C5" s="82"/>
      <c r="D5" s="82"/>
      <c r="E5" s="82"/>
      <c r="F5" s="82"/>
      <c r="G5" s="82"/>
      <c r="H5" s="82"/>
      <c r="I5" s="82"/>
      <c r="J5" s="82"/>
      <c r="K5" s="82"/>
      <c r="L5" s="110"/>
      <c r="M5" s="7"/>
    </row>
    <row r="6" spans="1:16">
      <c r="A6" s="102" t="s">
        <v>3</v>
      </c>
      <c r="B6" s="82"/>
      <c r="C6" s="82"/>
      <c r="D6" s="81" t="str">
        <f>'Stavební rozpočet'!D6</f>
        <v>Město Albrechtice</v>
      </c>
      <c r="E6" s="81" t="s">
        <v>631</v>
      </c>
      <c r="F6" s="82"/>
      <c r="G6" s="81" t="str">
        <f>'Stavební rozpočet'!G6</f>
        <v xml:space="preserve"> </v>
      </c>
      <c r="H6" s="82"/>
      <c r="I6" s="81" t="s">
        <v>649</v>
      </c>
      <c r="J6" s="81" t="str">
        <f>'Stavební rozpočet'!I6</f>
        <v> </v>
      </c>
      <c r="K6" s="82"/>
      <c r="L6" s="110"/>
      <c r="M6" s="7"/>
    </row>
    <row r="7" spans="1:16">
      <c r="A7" s="108"/>
      <c r="B7" s="82"/>
      <c r="C7" s="82"/>
      <c r="D7" s="82"/>
      <c r="E7" s="82"/>
      <c r="F7" s="82"/>
      <c r="G7" s="82"/>
      <c r="H7" s="82"/>
      <c r="I7" s="82"/>
      <c r="J7" s="82"/>
      <c r="K7" s="82"/>
      <c r="L7" s="110"/>
      <c r="M7" s="7"/>
    </row>
    <row r="8" spans="1:16">
      <c r="A8" s="102" t="s">
        <v>4</v>
      </c>
      <c r="B8" s="82"/>
      <c r="C8" s="82"/>
      <c r="D8" s="81" t="str">
        <f>'Stavební rozpočet'!D8</f>
        <v xml:space="preserve"> </v>
      </c>
      <c r="E8" s="81" t="s">
        <v>632</v>
      </c>
      <c r="F8" s="82"/>
      <c r="G8" s="81" t="str">
        <f>'Stavební rozpočet'!G8</f>
        <v>02.08.2019</v>
      </c>
      <c r="H8" s="82"/>
      <c r="I8" s="81" t="s">
        <v>650</v>
      </c>
      <c r="J8" s="81" t="str">
        <f>'Stavební rozpočet'!I8</f>
        <v>Kamil Beck</v>
      </c>
      <c r="K8" s="82"/>
      <c r="L8" s="110"/>
      <c r="M8" s="7"/>
    </row>
    <row r="9" spans="1:16">
      <c r="A9" s="132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4"/>
      <c r="M9" s="7"/>
    </row>
    <row r="10" spans="1:16">
      <c r="A10" s="11" t="s">
        <v>6</v>
      </c>
      <c r="B10" s="11" t="s">
        <v>6</v>
      </c>
      <c r="C10" s="120" t="s">
        <v>6</v>
      </c>
      <c r="D10" s="121"/>
      <c r="E10" s="121"/>
      <c r="F10" s="121"/>
      <c r="G10" s="121"/>
      <c r="H10" s="122"/>
      <c r="I10" s="123" t="s">
        <v>663</v>
      </c>
      <c r="J10" s="124"/>
      <c r="K10" s="125"/>
      <c r="L10" s="19" t="s">
        <v>667</v>
      </c>
      <c r="M10" s="21"/>
    </row>
    <row r="11" spans="1:16">
      <c r="A11" s="12" t="s">
        <v>657</v>
      </c>
      <c r="B11" s="12" t="s">
        <v>223</v>
      </c>
      <c r="C11" s="126" t="s">
        <v>662</v>
      </c>
      <c r="D11" s="127"/>
      <c r="E11" s="127"/>
      <c r="F11" s="127"/>
      <c r="G11" s="127"/>
      <c r="H11" s="128"/>
      <c r="I11" s="17" t="s">
        <v>664</v>
      </c>
      <c r="J11" s="18" t="s">
        <v>665</v>
      </c>
      <c r="K11" s="18" t="s">
        <v>666</v>
      </c>
      <c r="L11" s="20" t="s">
        <v>666</v>
      </c>
      <c r="M11" s="21"/>
    </row>
    <row r="12" spans="1:16">
      <c r="A12" s="13" t="s">
        <v>658</v>
      </c>
      <c r="B12" s="13"/>
      <c r="C12" s="129" t="s">
        <v>410</v>
      </c>
      <c r="D12" s="121"/>
      <c r="E12" s="121"/>
      <c r="F12" s="121"/>
      <c r="G12" s="121"/>
      <c r="H12" s="121"/>
      <c r="I12" s="23">
        <f>'Stavební rozpočet'!H12</f>
        <v>1289753.0077028852</v>
      </c>
      <c r="J12" s="23">
        <f>'Stavební rozpočet'!I12</f>
        <v>2691654.1714716149</v>
      </c>
      <c r="K12" s="23">
        <f>'Stavební rozpočet'!J12</f>
        <v>3981407.1791745005</v>
      </c>
      <c r="L12" s="23">
        <f>'Stavební rozpočet'!L12</f>
        <v>2110.6276726540004</v>
      </c>
      <c r="M12" s="22" t="s">
        <v>668</v>
      </c>
      <c r="N12" s="22">
        <f t="shared" ref="N12:N52" si="0">IF(M12="F",0,K12)</f>
        <v>0</v>
      </c>
      <c r="O12" s="4" t="s">
        <v>658</v>
      </c>
      <c r="P12" s="22">
        <f t="shared" ref="P12:P52" si="1">IF(M12="T",0,K12)</f>
        <v>3981407.1791745005</v>
      </c>
    </row>
    <row r="13" spans="1:16">
      <c r="A13" s="4" t="s">
        <v>658</v>
      </c>
      <c r="B13" s="4" t="s">
        <v>224</v>
      </c>
      <c r="C13" s="105" t="s">
        <v>411</v>
      </c>
      <c r="D13" s="82"/>
      <c r="E13" s="82"/>
      <c r="F13" s="82"/>
      <c r="G13" s="82"/>
      <c r="H13" s="82"/>
      <c r="I13" s="22">
        <f>'Stavební rozpočet'!H13</f>
        <v>0</v>
      </c>
      <c r="J13" s="22">
        <f>'Stavební rozpočet'!I13</f>
        <v>185500</v>
      </c>
      <c r="K13" s="22">
        <f>'Stavební rozpočet'!J13</f>
        <v>185500</v>
      </c>
      <c r="L13" s="22">
        <f>'Stavební rozpočet'!L13</f>
        <v>0</v>
      </c>
      <c r="M13" s="22" t="s">
        <v>669</v>
      </c>
      <c r="N13" s="22">
        <f t="shared" si="0"/>
        <v>185500</v>
      </c>
      <c r="O13" s="4" t="s">
        <v>658</v>
      </c>
      <c r="P13" s="22">
        <f t="shared" si="1"/>
        <v>0</v>
      </c>
    </row>
    <row r="14" spans="1:16">
      <c r="A14" s="4" t="s">
        <v>658</v>
      </c>
      <c r="B14" s="4" t="s">
        <v>17</v>
      </c>
      <c r="C14" s="105" t="s">
        <v>422</v>
      </c>
      <c r="D14" s="82"/>
      <c r="E14" s="82"/>
      <c r="F14" s="82"/>
      <c r="G14" s="82"/>
      <c r="H14" s="82"/>
      <c r="I14" s="22">
        <f>'Stavební rozpočet'!H28</f>
        <v>0</v>
      </c>
      <c r="J14" s="22">
        <f>'Stavební rozpočet'!I28</f>
        <v>228297.71000000002</v>
      </c>
      <c r="K14" s="22">
        <f>'Stavební rozpočet'!J28</f>
        <v>228297.71000000002</v>
      </c>
      <c r="L14" s="22">
        <f>'Stavební rozpočet'!L28</f>
        <v>903.87149999999997</v>
      </c>
      <c r="M14" s="22" t="s">
        <v>669</v>
      </c>
      <c r="N14" s="22">
        <f t="shared" si="0"/>
        <v>228297.71000000002</v>
      </c>
      <c r="O14" s="4" t="s">
        <v>658</v>
      </c>
      <c r="P14" s="22">
        <f t="shared" si="1"/>
        <v>0</v>
      </c>
    </row>
    <row r="15" spans="1:16">
      <c r="A15" s="4" t="s">
        <v>658</v>
      </c>
      <c r="B15" s="4" t="s">
        <v>18</v>
      </c>
      <c r="C15" s="105" t="s">
        <v>429</v>
      </c>
      <c r="D15" s="82"/>
      <c r="E15" s="82"/>
      <c r="F15" s="82"/>
      <c r="G15" s="82"/>
      <c r="H15" s="82"/>
      <c r="I15" s="22">
        <f>'Stavební rozpočet'!H37</f>
        <v>0</v>
      </c>
      <c r="J15" s="22">
        <f>'Stavební rozpočet'!I37</f>
        <v>14343.334499999997</v>
      </c>
      <c r="K15" s="22">
        <f>'Stavební rozpočet'!J37</f>
        <v>14343.334499999997</v>
      </c>
      <c r="L15" s="22">
        <f>'Stavební rozpočet'!L37</f>
        <v>0</v>
      </c>
      <c r="M15" s="22" t="s">
        <v>669</v>
      </c>
      <c r="N15" s="22">
        <f t="shared" si="0"/>
        <v>14343.334499999997</v>
      </c>
      <c r="O15" s="4" t="s">
        <v>658</v>
      </c>
      <c r="P15" s="22">
        <f t="shared" si="1"/>
        <v>0</v>
      </c>
    </row>
    <row r="16" spans="1:16">
      <c r="A16" s="4" t="s">
        <v>658</v>
      </c>
      <c r="B16" s="4" t="s">
        <v>19</v>
      </c>
      <c r="C16" s="105" t="s">
        <v>433</v>
      </c>
      <c r="D16" s="82"/>
      <c r="E16" s="82"/>
      <c r="F16" s="82"/>
      <c r="G16" s="82"/>
      <c r="H16" s="82"/>
      <c r="I16" s="22">
        <f>'Stavební rozpočet'!H46</f>
        <v>0</v>
      </c>
      <c r="J16" s="22">
        <f>'Stavební rozpočet'!I46</f>
        <v>2037.1805999999999</v>
      </c>
      <c r="K16" s="22">
        <f>'Stavební rozpočet'!J46</f>
        <v>2037.1805999999999</v>
      </c>
      <c r="L16" s="22">
        <f>'Stavební rozpočet'!L46</f>
        <v>0</v>
      </c>
      <c r="M16" s="22" t="s">
        <v>669</v>
      </c>
      <c r="N16" s="22">
        <f t="shared" si="0"/>
        <v>2037.1805999999999</v>
      </c>
      <c r="O16" s="4" t="s">
        <v>658</v>
      </c>
      <c r="P16" s="22">
        <f t="shared" si="1"/>
        <v>0</v>
      </c>
    </row>
    <row r="17" spans="1:16">
      <c r="A17" s="4" t="s">
        <v>658</v>
      </c>
      <c r="B17" s="4" t="s">
        <v>22</v>
      </c>
      <c r="C17" s="105" t="s">
        <v>436</v>
      </c>
      <c r="D17" s="82"/>
      <c r="E17" s="82"/>
      <c r="F17" s="82"/>
      <c r="G17" s="82"/>
      <c r="H17" s="82"/>
      <c r="I17" s="22">
        <f>'Stavební rozpočet'!H51</f>
        <v>0</v>
      </c>
      <c r="J17" s="22">
        <f>'Stavební rozpočet'!I51</f>
        <v>42557.447820000001</v>
      </c>
      <c r="K17" s="22">
        <f>'Stavební rozpočet'!J51</f>
        <v>42557.447820000001</v>
      </c>
      <c r="L17" s="22">
        <f>'Stavební rozpočet'!L51</f>
        <v>0</v>
      </c>
      <c r="M17" s="22" t="s">
        <v>669</v>
      </c>
      <c r="N17" s="22">
        <f t="shared" si="0"/>
        <v>42557.447820000001</v>
      </c>
      <c r="O17" s="4" t="s">
        <v>658</v>
      </c>
      <c r="P17" s="22">
        <f t="shared" si="1"/>
        <v>0</v>
      </c>
    </row>
    <row r="18" spans="1:16">
      <c r="A18" s="4" t="s">
        <v>658</v>
      </c>
      <c r="B18" s="4" t="s">
        <v>23</v>
      </c>
      <c r="C18" s="105" t="s">
        <v>443</v>
      </c>
      <c r="D18" s="82"/>
      <c r="E18" s="82"/>
      <c r="F18" s="82"/>
      <c r="G18" s="82"/>
      <c r="H18" s="82"/>
      <c r="I18" s="22">
        <f>'Stavební rozpočet'!H58</f>
        <v>76290.790399999998</v>
      </c>
      <c r="J18" s="22">
        <f>'Stavební rozpočet'!I58</f>
        <v>96854.911999999997</v>
      </c>
      <c r="K18" s="22">
        <f>'Stavební rozpočet'!J58</f>
        <v>173145.70240000001</v>
      </c>
      <c r="L18" s="22">
        <f>'Stavební rozpočet'!L58</f>
        <v>221.21600000000001</v>
      </c>
      <c r="M18" s="22" t="s">
        <v>669</v>
      </c>
      <c r="N18" s="22">
        <f t="shared" si="0"/>
        <v>173145.70240000001</v>
      </c>
      <c r="O18" s="4" t="s">
        <v>658</v>
      </c>
      <c r="P18" s="22">
        <f t="shared" si="1"/>
        <v>0</v>
      </c>
    </row>
    <row r="19" spans="1:16">
      <c r="A19" s="4" t="s">
        <v>658</v>
      </c>
      <c r="B19" s="4" t="s">
        <v>255</v>
      </c>
      <c r="C19" s="105" t="s">
        <v>448</v>
      </c>
      <c r="D19" s="82"/>
      <c r="E19" s="82"/>
      <c r="F19" s="82"/>
      <c r="G19" s="82"/>
      <c r="H19" s="82"/>
      <c r="I19" s="22">
        <f>'Stavební rozpočet'!H64</f>
        <v>0</v>
      </c>
      <c r="J19" s="22">
        <f>'Stavební rozpočet'!I64</f>
        <v>11711.055</v>
      </c>
      <c r="K19" s="22">
        <f>'Stavební rozpočet'!J64</f>
        <v>11711.055</v>
      </c>
      <c r="L19" s="22">
        <f>'Stavební rozpočet'!L64</f>
        <v>4.8285</v>
      </c>
      <c r="M19" s="22" t="s">
        <v>669</v>
      </c>
      <c r="N19" s="22">
        <f t="shared" si="0"/>
        <v>11711.055</v>
      </c>
      <c r="O19" s="4" t="s">
        <v>658</v>
      </c>
      <c r="P19" s="22">
        <f t="shared" si="1"/>
        <v>0</v>
      </c>
    </row>
    <row r="20" spans="1:16">
      <c r="A20" s="4" t="s">
        <v>658</v>
      </c>
      <c r="B20" s="4" t="s">
        <v>24</v>
      </c>
      <c r="C20" s="105" t="s">
        <v>450</v>
      </c>
      <c r="D20" s="82"/>
      <c r="E20" s="82"/>
      <c r="F20" s="82"/>
      <c r="G20" s="82"/>
      <c r="H20" s="82"/>
      <c r="I20" s="22">
        <f>'Stavební rozpočet'!H67</f>
        <v>89800.668600000019</v>
      </c>
      <c r="J20" s="22">
        <f>'Stavební rozpočet'!I67</f>
        <v>526838.47</v>
      </c>
      <c r="K20" s="22">
        <f>'Stavební rozpočet'!J67</f>
        <v>616639.13860000006</v>
      </c>
      <c r="L20" s="22">
        <f>'Stavební rozpočet'!L67</f>
        <v>86.966289999999987</v>
      </c>
      <c r="M20" s="22" t="s">
        <v>669</v>
      </c>
      <c r="N20" s="22">
        <f t="shared" si="0"/>
        <v>616639.13860000006</v>
      </c>
      <c r="O20" s="4" t="s">
        <v>658</v>
      </c>
      <c r="P20" s="22">
        <f t="shared" si="1"/>
        <v>0</v>
      </c>
    </row>
    <row r="21" spans="1:16">
      <c r="A21" s="4" t="s">
        <v>658</v>
      </c>
      <c r="B21" s="4" t="s">
        <v>33</v>
      </c>
      <c r="C21" s="105" t="s">
        <v>515</v>
      </c>
      <c r="D21" s="82"/>
      <c r="E21" s="82"/>
      <c r="F21" s="82"/>
      <c r="G21" s="82"/>
      <c r="H21" s="82"/>
      <c r="I21" s="22">
        <f>'Stavební rozpočet'!H136</f>
        <v>20202.693184243661</v>
      </c>
      <c r="J21" s="22">
        <f>'Stavební rozpočet'!I136</f>
        <v>16158.507215756339</v>
      </c>
      <c r="K21" s="22">
        <f>'Stavební rozpočet'!J136</f>
        <v>36361.200400000002</v>
      </c>
      <c r="L21" s="22">
        <f>'Stavební rozpočet'!L136</f>
        <v>18.1025712</v>
      </c>
      <c r="M21" s="22" t="s">
        <v>669</v>
      </c>
      <c r="N21" s="22">
        <f t="shared" si="0"/>
        <v>36361.200400000002</v>
      </c>
      <c r="O21" s="4" t="s">
        <v>658</v>
      </c>
      <c r="P21" s="22">
        <f t="shared" si="1"/>
        <v>0</v>
      </c>
    </row>
    <row r="22" spans="1:16">
      <c r="A22" s="4" t="s">
        <v>658</v>
      </c>
      <c r="B22" s="4" t="s">
        <v>40</v>
      </c>
      <c r="C22" s="105" t="s">
        <v>520</v>
      </c>
      <c r="D22" s="82"/>
      <c r="E22" s="82"/>
      <c r="F22" s="82"/>
      <c r="G22" s="82"/>
      <c r="H22" s="82"/>
      <c r="I22" s="22">
        <f>'Stavební rozpočet'!H143</f>
        <v>9193.4700000000012</v>
      </c>
      <c r="J22" s="22">
        <f>'Stavební rozpočet'!I143</f>
        <v>5067.5299999999988</v>
      </c>
      <c r="K22" s="22">
        <f>'Stavební rozpočet'!J143</f>
        <v>14261</v>
      </c>
      <c r="L22" s="22">
        <f>'Stavební rozpočet'!L143</f>
        <v>0.56003999999999998</v>
      </c>
      <c r="M22" s="22" t="s">
        <v>669</v>
      </c>
      <c r="N22" s="22">
        <f t="shared" si="0"/>
        <v>14261</v>
      </c>
      <c r="O22" s="4" t="s">
        <v>658</v>
      </c>
      <c r="P22" s="22">
        <f t="shared" si="1"/>
        <v>0</v>
      </c>
    </row>
    <row r="23" spans="1:16">
      <c r="A23" s="4" t="s">
        <v>658</v>
      </c>
      <c r="B23" s="4" t="s">
        <v>49</v>
      </c>
      <c r="C23" s="105" t="s">
        <v>522</v>
      </c>
      <c r="D23" s="82"/>
      <c r="E23" s="82"/>
      <c r="F23" s="82"/>
      <c r="G23" s="82"/>
      <c r="H23" s="82"/>
      <c r="I23" s="22">
        <f>'Stavební rozpočet'!H145</f>
        <v>5755.9600000000009</v>
      </c>
      <c r="J23" s="22">
        <f>'Stavební rozpočet'!I145</f>
        <v>3924.0599999999995</v>
      </c>
      <c r="K23" s="22">
        <f>'Stavební rozpočet'!J145</f>
        <v>9680.02</v>
      </c>
      <c r="L23" s="22">
        <f>'Stavební rozpočet'!L145</f>
        <v>4.1303999999999998</v>
      </c>
      <c r="M23" s="22" t="s">
        <v>669</v>
      </c>
      <c r="N23" s="22">
        <f t="shared" si="0"/>
        <v>9680.02</v>
      </c>
      <c r="O23" s="4" t="s">
        <v>658</v>
      </c>
      <c r="P23" s="22">
        <f t="shared" si="1"/>
        <v>0</v>
      </c>
    </row>
    <row r="24" spans="1:16">
      <c r="A24" s="4" t="s">
        <v>658</v>
      </c>
      <c r="B24" s="4" t="s">
        <v>62</v>
      </c>
      <c r="C24" s="105" t="s">
        <v>524</v>
      </c>
      <c r="D24" s="82"/>
      <c r="E24" s="82"/>
      <c r="F24" s="82"/>
      <c r="G24" s="82"/>
      <c r="H24" s="82"/>
      <c r="I24" s="22">
        <f>'Stavební rozpočet'!H147</f>
        <v>237375.82798355803</v>
      </c>
      <c r="J24" s="22">
        <f>'Stavební rozpočet'!I147</f>
        <v>42594.650516441929</v>
      </c>
      <c r="K24" s="22">
        <f>'Stavební rozpočet'!J147</f>
        <v>279970.47850000003</v>
      </c>
      <c r="L24" s="22">
        <f>'Stavební rozpočet'!L147</f>
        <v>581.97582599999998</v>
      </c>
      <c r="M24" s="22" t="s">
        <v>669</v>
      </c>
      <c r="N24" s="22">
        <f t="shared" si="0"/>
        <v>279970.47850000003</v>
      </c>
      <c r="O24" s="4" t="s">
        <v>658</v>
      </c>
      <c r="P24" s="22">
        <f t="shared" si="1"/>
        <v>0</v>
      </c>
    </row>
    <row r="25" spans="1:16">
      <c r="A25" s="4" t="s">
        <v>658</v>
      </c>
      <c r="B25" s="4" t="s">
        <v>63</v>
      </c>
      <c r="C25" s="105" t="s">
        <v>532</v>
      </c>
      <c r="D25" s="82"/>
      <c r="E25" s="82"/>
      <c r="F25" s="82"/>
      <c r="G25" s="82"/>
      <c r="H25" s="82"/>
      <c r="I25" s="22">
        <f>'Stavební rozpočet'!H158</f>
        <v>415247.19999999972</v>
      </c>
      <c r="J25" s="22">
        <f>'Stavební rozpočet'!I158</f>
        <v>229698.38000000027</v>
      </c>
      <c r="K25" s="22">
        <f>'Stavební rozpočet'!J158</f>
        <v>644945.58000000007</v>
      </c>
      <c r="L25" s="22">
        <f>'Stavební rozpočet'!L158</f>
        <v>178.01639999999998</v>
      </c>
      <c r="M25" s="22" t="s">
        <v>669</v>
      </c>
      <c r="N25" s="22">
        <f t="shared" si="0"/>
        <v>644945.58000000007</v>
      </c>
      <c r="O25" s="4" t="s">
        <v>658</v>
      </c>
      <c r="P25" s="22">
        <f t="shared" si="1"/>
        <v>0</v>
      </c>
    </row>
    <row r="26" spans="1:16">
      <c r="A26" s="4" t="s">
        <v>658</v>
      </c>
      <c r="B26" s="4" t="s">
        <v>65</v>
      </c>
      <c r="C26" s="105" t="s">
        <v>538</v>
      </c>
      <c r="D26" s="82"/>
      <c r="E26" s="82"/>
      <c r="F26" s="82"/>
      <c r="G26" s="82"/>
      <c r="H26" s="82"/>
      <c r="I26" s="22">
        <f>'Stavební rozpočet'!H165</f>
        <v>28583.611625986294</v>
      </c>
      <c r="J26" s="22">
        <f>'Stavební rozpočet'!I165</f>
        <v>36776.764374013706</v>
      </c>
      <c r="K26" s="22">
        <f>'Stavební rozpočet'!J165</f>
        <v>65360.376000000004</v>
      </c>
      <c r="L26" s="22">
        <f>'Stavební rozpočet'!L165</f>
        <v>21.04483475</v>
      </c>
      <c r="M26" s="22" t="s">
        <v>669</v>
      </c>
      <c r="N26" s="22">
        <f t="shared" si="0"/>
        <v>65360.376000000004</v>
      </c>
      <c r="O26" s="4" t="s">
        <v>658</v>
      </c>
      <c r="P26" s="22">
        <f t="shared" si="1"/>
        <v>0</v>
      </c>
    </row>
    <row r="27" spans="1:16">
      <c r="A27" s="4" t="s">
        <v>658</v>
      </c>
      <c r="B27" s="4" t="s">
        <v>69</v>
      </c>
      <c r="C27" s="105" t="s">
        <v>546</v>
      </c>
      <c r="D27" s="82"/>
      <c r="E27" s="82"/>
      <c r="F27" s="82"/>
      <c r="G27" s="82"/>
      <c r="H27" s="82"/>
      <c r="I27" s="22">
        <f>'Stavební rozpočet'!H180</f>
        <v>1608.6960000000001</v>
      </c>
      <c r="J27" s="22">
        <f>'Stavební rozpočet'!I180</f>
        <v>479.30399999999997</v>
      </c>
      <c r="K27" s="22">
        <f>'Stavební rozpočet'!J180</f>
        <v>2088</v>
      </c>
      <c r="L27" s="22">
        <f>'Stavební rozpočet'!L180</f>
        <v>1.1520000000000001</v>
      </c>
      <c r="M27" s="22" t="s">
        <v>669</v>
      </c>
      <c r="N27" s="22">
        <f t="shared" si="0"/>
        <v>2088</v>
      </c>
      <c r="O27" s="4" t="s">
        <v>658</v>
      </c>
      <c r="P27" s="22">
        <f t="shared" si="1"/>
        <v>0</v>
      </c>
    </row>
    <row r="28" spans="1:16">
      <c r="A28" s="4" t="s">
        <v>658</v>
      </c>
      <c r="B28" s="4" t="s">
        <v>341</v>
      </c>
      <c r="C28" s="105" t="s">
        <v>548</v>
      </c>
      <c r="D28" s="82"/>
      <c r="E28" s="82"/>
      <c r="F28" s="82"/>
      <c r="G28" s="82"/>
      <c r="H28" s="82"/>
      <c r="I28" s="22">
        <f>'Stavební rozpočet'!H183</f>
        <v>8832.2284043074378</v>
      </c>
      <c r="J28" s="22">
        <f>'Stavební rozpočet'!I183</f>
        <v>11295.112865692561</v>
      </c>
      <c r="K28" s="22">
        <f>'Stavební rozpočet'!J183</f>
        <v>20127.341270000001</v>
      </c>
      <c r="L28" s="22">
        <f>'Stavební rozpočet'!L183</f>
        <v>2.7033649999999998</v>
      </c>
      <c r="M28" s="22" t="s">
        <v>669</v>
      </c>
      <c r="N28" s="22">
        <f t="shared" si="0"/>
        <v>20127.341270000001</v>
      </c>
      <c r="O28" s="4" t="s">
        <v>658</v>
      </c>
      <c r="P28" s="22">
        <f t="shared" si="1"/>
        <v>0</v>
      </c>
    </row>
    <row r="29" spans="1:16">
      <c r="A29" s="4" t="s">
        <v>658</v>
      </c>
      <c r="B29" s="4" t="s">
        <v>346</v>
      </c>
      <c r="C29" s="105" t="s">
        <v>554</v>
      </c>
      <c r="D29" s="82"/>
      <c r="E29" s="82"/>
      <c r="F29" s="82"/>
      <c r="G29" s="82"/>
      <c r="H29" s="82"/>
      <c r="I29" s="22">
        <f>'Stavební rozpočet'!H190</f>
        <v>59028.844213656143</v>
      </c>
      <c r="J29" s="22">
        <f>'Stavební rozpočet'!I190</f>
        <v>135186.79542634386</v>
      </c>
      <c r="K29" s="22">
        <f>'Stavební rozpočet'!J190</f>
        <v>194215.63964000001</v>
      </c>
      <c r="L29" s="22">
        <f>'Stavební rozpočet'!L190</f>
        <v>5.0225464259999999</v>
      </c>
      <c r="M29" s="22" t="s">
        <v>669</v>
      </c>
      <c r="N29" s="22">
        <f t="shared" si="0"/>
        <v>194215.63964000001</v>
      </c>
      <c r="O29" s="4" t="s">
        <v>658</v>
      </c>
      <c r="P29" s="22">
        <f t="shared" si="1"/>
        <v>0</v>
      </c>
    </row>
    <row r="30" spans="1:16">
      <c r="A30" s="4" t="s">
        <v>658</v>
      </c>
      <c r="B30" s="4" t="s">
        <v>356</v>
      </c>
      <c r="C30" s="105" t="s">
        <v>565</v>
      </c>
      <c r="D30" s="82"/>
      <c r="E30" s="82"/>
      <c r="F30" s="82"/>
      <c r="G30" s="82"/>
      <c r="H30" s="82"/>
      <c r="I30" s="22">
        <f>'Stavební rozpočet'!H207</f>
        <v>19378.905000000017</v>
      </c>
      <c r="J30" s="22">
        <f>'Stavební rozpočet'!I207</f>
        <v>37489.134164999981</v>
      </c>
      <c r="K30" s="22">
        <f>'Stavební rozpočet'!J207</f>
        <v>56868.039164999995</v>
      </c>
      <c r="L30" s="22">
        <f>'Stavební rozpočet'!L207</f>
        <v>0.17851210000000001</v>
      </c>
      <c r="M30" s="22" t="s">
        <v>669</v>
      </c>
      <c r="N30" s="22">
        <f t="shared" si="0"/>
        <v>56868.039164999995</v>
      </c>
      <c r="O30" s="4" t="s">
        <v>658</v>
      </c>
      <c r="P30" s="22">
        <f t="shared" si="1"/>
        <v>0</v>
      </c>
    </row>
    <row r="31" spans="1:16">
      <c r="A31" s="4" t="s">
        <v>658</v>
      </c>
      <c r="B31" s="4" t="s">
        <v>365</v>
      </c>
      <c r="C31" s="105" t="s">
        <v>575</v>
      </c>
      <c r="D31" s="82"/>
      <c r="E31" s="82"/>
      <c r="F31" s="82"/>
      <c r="G31" s="82"/>
      <c r="H31" s="82"/>
      <c r="I31" s="22">
        <f>'Stavební rozpočet'!H219</f>
        <v>34642.636972478933</v>
      </c>
      <c r="J31" s="22">
        <f>'Stavební rozpočet'!I219</f>
        <v>28252.949260521076</v>
      </c>
      <c r="K31" s="22">
        <f>'Stavební rozpočet'!J219</f>
        <v>62895.586233000009</v>
      </c>
      <c r="L31" s="22">
        <f>'Stavební rozpočet'!L219</f>
        <v>1.1488731000000001</v>
      </c>
      <c r="M31" s="22" t="s">
        <v>669</v>
      </c>
      <c r="N31" s="22">
        <f t="shared" si="0"/>
        <v>62895.586233000009</v>
      </c>
      <c r="O31" s="4" t="s">
        <v>658</v>
      </c>
      <c r="P31" s="22">
        <f t="shared" si="1"/>
        <v>0</v>
      </c>
    </row>
    <row r="32" spans="1:16">
      <c r="A32" s="4" t="s">
        <v>658</v>
      </c>
      <c r="B32" s="4" t="s">
        <v>371</v>
      </c>
      <c r="C32" s="105" t="s">
        <v>582</v>
      </c>
      <c r="D32" s="82"/>
      <c r="E32" s="82"/>
      <c r="F32" s="82"/>
      <c r="G32" s="82"/>
      <c r="H32" s="82"/>
      <c r="I32" s="22">
        <f>'Stavební rozpočet'!H229</f>
        <v>187541.56695586059</v>
      </c>
      <c r="J32" s="22">
        <f>'Stavební rozpočet'!I229</f>
        <v>63455.780182639377</v>
      </c>
      <c r="K32" s="22">
        <f>'Stavební rozpočet'!J229</f>
        <v>250997.34713849999</v>
      </c>
      <c r="L32" s="22">
        <f>'Stavební rozpočet'!L229</f>
        <v>1.6238376699999999</v>
      </c>
      <c r="M32" s="22" t="s">
        <v>669</v>
      </c>
      <c r="N32" s="22">
        <f t="shared" si="0"/>
        <v>250997.34713849999</v>
      </c>
      <c r="O32" s="4" t="s">
        <v>658</v>
      </c>
      <c r="P32" s="22">
        <f t="shared" si="1"/>
        <v>0</v>
      </c>
    </row>
    <row r="33" spans="1:16">
      <c r="A33" s="4" t="s">
        <v>658</v>
      </c>
      <c r="B33" s="4" t="s">
        <v>388</v>
      </c>
      <c r="C33" s="105" t="s">
        <v>599</v>
      </c>
      <c r="D33" s="82"/>
      <c r="E33" s="82"/>
      <c r="F33" s="82"/>
      <c r="G33" s="82"/>
      <c r="H33" s="82"/>
      <c r="I33" s="22">
        <f>'Stavební rozpočet'!H253</f>
        <v>11245.008362794484</v>
      </c>
      <c r="J33" s="22">
        <f>'Stavební rozpočet'!I253</f>
        <v>23611.717393205516</v>
      </c>
      <c r="K33" s="22">
        <f>'Stavební rozpočet'!J253</f>
        <v>34856.725756</v>
      </c>
      <c r="L33" s="22">
        <f>'Stavební rozpočet'!L253</f>
        <v>6.1351408000000003E-2</v>
      </c>
      <c r="M33" s="22" t="s">
        <v>669</v>
      </c>
      <c r="N33" s="22">
        <f t="shared" si="0"/>
        <v>34856.725756</v>
      </c>
      <c r="O33" s="4" t="s">
        <v>658</v>
      </c>
      <c r="P33" s="22">
        <f t="shared" si="1"/>
        <v>0</v>
      </c>
    </row>
    <row r="34" spans="1:16">
      <c r="A34" s="4" t="s">
        <v>658</v>
      </c>
      <c r="B34" s="4" t="s">
        <v>95</v>
      </c>
      <c r="C34" s="105" t="s">
        <v>603</v>
      </c>
      <c r="D34" s="82"/>
      <c r="E34" s="82"/>
      <c r="F34" s="82"/>
      <c r="G34" s="82"/>
      <c r="H34" s="82"/>
      <c r="I34" s="22">
        <f>'Stavební rozpočet'!H258</f>
        <v>20840.899999999998</v>
      </c>
      <c r="J34" s="22">
        <f>'Stavební rozpočet'!I258</f>
        <v>13174.080000000004</v>
      </c>
      <c r="K34" s="22">
        <f>'Stavební rozpočet'!J258</f>
        <v>34014.979999999996</v>
      </c>
      <c r="L34" s="22">
        <f>'Stavební rozpočet'!L258</f>
        <v>5.8704499999999999</v>
      </c>
      <c r="M34" s="22" t="s">
        <v>669</v>
      </c>
      <c r="N34" s="22">
        <f t="shared" si="0"/>
        <v>34014.979999999996</v>
      </c>
      <c r="O34" s="4" t="s">
        <v>658</v>
      </c>
      <c r="P34" s="22">
        <f t="shared" si="1"/>
        <v>0</v>
      </c>
    </row>
    <row r="35" spans="1:16">
      <c r="A35" s="4" t="s">
        <v>658</v>
      </c>
      <c r="B35" s="4" t="s">
        <v>97</v>
      </c>
      <c r="C35" s="105" t="s">
        <v>607</v>
      </c>
      <c r="D35" s="82"/>
      <c r="E35" s="82"/>
      <c r="F35" s="82"/>
      <c r="G35" s="82"/>
      <c r="H35" s="82"/>
      <c r="I35" s="22">
        <f>'Stavební rozpočet'!H263</f>
        <v>64183.999999999978</v>
      </c>
      <c r="J35" s="22">
        <f>'Stavební rozpočet'!I263</f>
        <v>37240.800000000025</v>
      </c>
      <c r="K35" s="22">
        <f>'Stavební rozpočet'!J263</f>
        <v>101424.8</v>
      </c>
      <c r="L35" s="22">
        <f>'Stavební rozpočet'!L263</f>
        <v>41.574375000000003</v>
      </c>
      <c r="M35" s="22" t="s">
        <v>669</v>
      </c>
      <c r="N35" s="22">
        <f t="shared" si="0"/>
        <v>101424.8</v>
      </c>
      <c r="O35" s="4" t="s">
        <v>658</v>
      </c>
      <c r="P35" s="22">
        <f t="shared" si="1"/>
        <v>0</v>
      </c>
    </row>
    <row r="36" spans="1:16">
      <c r="A36" s="4" t="s">
        <v>658</v>
      </c>
      <c r="B36" s="4" t="s">
        <v>102</v>
      </c>
      <c r="C36" s="105" t="s">
        <v>612</v>
      </c>
      <c r="D36" s="82"/>
      <c r="E36" s="82"/>
      <c r="F36" s="82"/>
      <c r="G36" s="82"/>
      <c r="H36" s="82"/>
      <c r="I36" s="22">
        <f>'Stavební rozpočet'!H270</f>
        <v>0</v>
      </c>
      <c r="J36" s="22">
        <f>'Stavební rozpočet'!I270</f>
        <v>18459.2</v>
      </c>
      <c r="K36" s="22">
        <f>'Stavební rozpočet'!J270</f>
        <v>18459.2</v>
      </c>
      <c r="L36" s="22">
        <f>'Stavební rozpočet'!L270</f>
        <v>30.580000000000002</v>
      </c>
      <c r="M36" s="22" t="s">
        <v>669</v>
      </c>
      <c r="N36" s="22">
        <f t="shared" si="0"/>
        <v>18459.2</v>
      </c>
      <c r="O36" s="4" t="s">
        <v>658</v>
      </c>
      <c r="P36" s="22">
        <f t="shared" si="1"/>
        <v>0</v>
      </c>
    </row>
    <row r="37" spans="1:16">
      <c r="A37" s="4" t="s">
        <v>658</v>
      </c>
      <c r="B37" s="4" t="s">
        <v>398</v>
      </c>
      <c r="C37" s="105" t="s">
        <v>615</v>
      </c>
      <c r="D37" s="82"/>
      <c r="E37" s="82"/>
      <c r="F37" s="82"/>
      <c r="G37" s="82"/>
      <c r="H37" s="82"/>
      <c r="I37" s="22">
        <f>'Stavební rozpočet'!H274</f>
        <v>0</v>
      </c>
      <c r="J37" s="22">
        <f>'Stavební rozpočet'!I274</f>
        <v>49521.374472000003</v>
      </c>
      <c r="K37" s="22">
        <f>'Stavební rozpočet'!J274</f>
        <v>49521.374472000003</v>
      </c>
      <c r="L37" s="22">
        <f>'Stavební rozpočet'!L274</f>
        <v>0</v>
      </c>
      <c r="M37" s="22" t="s">
        <v>669</v>
      </c>
      <c r="N37" s="22">
        <f t="shared" si="0"/>
        <v>49521.374472000003</v>
      </c>
      <c r="O37" s="4" t="s">
        <v>658</v>
      </c>
      <c r="P37" s="22">
        <f t="shared" si="1"/>
        <v>0</v>
      </c>
    </row>
    <row r="38" spans="1:16">
      <c r="A38" s="4" t="s">
        <v>658</v>
      </c>
      <c r="B38" s="4" t="s">
        <v>400</v>
      </c>
      <c r="C38" s="105" t="s">
        <v>617</v>
      </c>
      <c r="D38" s="82"/>
      <c r="E38" s="82"/>
      <c r="F38" s="82"/>
      <c r="G38" s="82"/>
      <c r="H38" s="82"/>
      <c r="I38" s="22">
        <f>'Stavební rozpočet'!H276</f>
        <v>0</v>
      </c>
      <c r="J38" s="22">
        <f>'Stavební rozpočet'!I276</f>
        <v>831127.92168000014</v>
      </c>
      <c r="K38" s="22">
        <f>'Stavební rozpočet'!J276</f>
        <v>831127.92168000014</v>
      </c>
      <c r="L38" s="22">
        <f>'Stavební rozpočet'!L276</f>
        <v>0</v>
      </c>
      <c r="M38" s="22" t="s">
        <v>669</v>
      </c>
      <c r="N38" s="22">
        <f t="shared" si="0"/>
        <v>831127.92168000014</v>
      </c>
      <c r="O38" s="4" t="s">
        <v>658</v>
      </c>
      <c r="P38" s="22">
        <f t="shared" si="1"/>
        <v>0</v>
      </c>
    </row>
    <row r="39" spans="1:16">
      <c r="A39" s="4" t="s">
        <v>659</v>
      </c>
      <c r="B39" s="4"/>
      <c r="C39" s="105" t="s">
        <v>622</v>
      </c>
      <c r="D39" s="82"/>
      <c r="E39" s="82"/>
      <c r="F39" s="82"/>
      <c r="G39" s="82"/>
      <c r="H39" s="82"/>
      <c r="I39" s="22">
        <f>'Stavební rozpočet'!H282</f>
        <v>411930.32299383014</v>
      </c>
      <c r="J39" s="22">
        <f>'Stavební rozpočet'!I282</f>
        <v>729490.72493016976</v>
      </c>
      <c r="K39" s="22">
        <f>'Stavební rozpočet'!J282</f>
        <v>1141421.0479239998</v>
      </c>
      <c r="L39" s="22">
        <f>'Stavební rozpočet'!L282</f>
        <v>821.19666999999993</v>
      </c>
      <c r="M39" s="22" t="s">
        <v>668</v>
      </c>
      <c r="N39" s="22">
        <f t="shared" si="0"/>
        <v>0</v>
      </c>
      <c r="O39" s="4" t="s">
        <v>659</v>
      </c>
      <c r="P39" s="22">
        <f t="shared" si="1"/>
        <v>1141421.0479239998</v>
      </c>
    </row>
    <row r="40" spans="1:16">
      <c r="A40" s="4" t="s">
        <v>659</v>
      </c>
      <c r="B40" s="4" t="s">
        <v>224</v>
      </c>
      <c r="C40" s="105" t="s">
        <v>411</v>
      </c>
      <c r="D40" s="82"/>
      <c r="E40" s="82"/>
      <c r="F40" s="82"/>
      <c r="G40" s="82"/>
      <c r="H40" s="82"/>
      <c r="I40" s="22">
        <f>'Stavební rozpočet'!H283</f>
        <v>0</v>
      </c>
      <c r="J40" s="22">
        <f>'Stavební rozpočet'!I283</f>
        <v>75000</v>
      </c>
      <c r="K40" s="22">
        <f>'Stavební rozpočet'!J283</f>
        <v>75000</v>
      </c>
      <c r="L40" s="22">
        <f>'Stavební rozpočet'!L283</f>
        <v>0</v>
      </c>
      <c r="M40" s="22" t="s">
        <v>669</v>
      </c>
      <c r="N40" s="22">
        <f t="shared" si="0"/>
        <v>75000</v>
      </c>
      <c r="O40" s="4" t="s">
        <v>659</v>
      </c>
      <c r="P40" s="22">
        <f t="shared" si="1"/>
        <v>0</v>
      </c>
    </row>
    <row r="41" spans="1:16">
      <c r="A41" s="4" t="s">
        <v>659</v>
      </c>
      <c r="B41" s="4" t="s">
        <v>17</v>
      </c>
      <c r="C41" s="105" t="s">
        <v>422</v>
      </c>
      <c r="D41" s="82"/>
      <c r="E41" s="82"/>
      <c r="F41" s="82"/>
      <c r="G41" s="82"/>
      <c r="H41" s="82"/>
      <c r="I41" s="22">
        <f>'Stavební rozpočet'!H297</f>
        <v>0</v>
      </c>
      <c r="J41" s="22">
        <f>'Stavební rozpočet'!I297</f>
        <v>85155.044999999998</v>
      </c>
      <c r="K41" s="22">
        <f>'Stavební rozpočet'!J297</f>
        <v>85155.044999999998</v>
      </c>
      <c r="L41" s="22">
        <f>'Stavební rozpočet'!L297</f>
        <v>373.291</v>
      </c>
      <c r="M41" s="22" t="s">
        <v>669</v>
      </c>
      <c r="N41" s="22">
        <f t="shared" si="0"/>
        <v>85155.044999999998</v>
      </c>
      <c r="O41" s="4" t="s">
        <v>659</v>
      </c>
      <c r="P41" s="22">
        <f t="shared" si="1"/>
        <v>0</v>
      </c>
    </row>
    <row r="42" spans="1:16">
      <c r="A42" s="4" t="s">
        <v>659</v>
      </c>
      <c r="B42" s="4" t="s">
        <v>18</v>
      </c>
      <c r="C42" s="105" t="s">
        <v>429</v>
      </c>
      <c r="D42" s="82"/>
      <c r="E42" s="82"/>
      <c r="F42" s="82"/>
      <c r="G42" s="82"/>
      <c r="H42" s="82"/>
      <c r="I42" s="22">
        <f>'Stavební rozpočet'!H302</f>
        <v>0</v>
      </c>
      <c r="J42" s="22">
        <f>'Stavební rozpočet'!I302</f>
        <v>3325.3474999999999</v>
      </c>
      <c r="K42" s="22">
        <f>'Stavební rozpočet'!J302</f>
        <v>3325.3474999999999</v>
      </c>
      <c r="L42" s="22">
        <f>'Stavební rozpočet'!L302</f>
        <v>0</v>
      </c>
      <c r="M42" s="22" t="s">
        <v>669</v>
      </c>
      <c r="N42" s="22">
        <f t="shared" si="0"/>
        <v>3325.3474999999999</v>
      </c>
      <c r="O42" s="4" t="s">
        <v>659</v>
      </c>
      <c r="P42" s="22">
        <f t="shared" si="1"/>
        <v>0</v>
      </c>
    </row>
    <row r="43" spans="1:16">
      <c r="A43" s="4" t="s">
        <v>659</v>
      </c>
      <c r="B43" s="4" t="s">
        <v>19</v>
      </c>
      <c r="C43" s="105" t="s">
        <v>433</v>
      </c>
      <c r="D43" s="82"/>
      <c r="E43" s="82"/>
      <c r="F43" s="82"/>
      <c r="G43" s="82"/>
      <c r="H43" s="82"/>
      <c r="I43" s="22">
        <f>'Stavební rozpočet'!H311</f>
        <v>0</v>
      </c>
      <c r="J43" s="22">
        <f>'Stavební rozpočet'!I311</f>
        <v>5215.0349999999999</v>
      </c>
      <c r="K43" s="22">
        <f>'Stavební rozpočet'!J311</f>
        <v>5215.0349999999999</v>
      </c>
      <c r="L43" s="22">
        <f>'Stavební rozpočet'!L311</f>
        <v>0</v>
      </c>
      <c r="M43" s="22" t="s">
        <v>669</v>
      </c>
      <c r="N43" s="22">
        <f t="shared" si="0"/>
        <v>5215.0349999999999</v>
      </c>
      <c r="O43" s="4" t="s">
        <v>659</v>
      </c>
      <c r="P43" s="22">
        <f t="shared" si="1"/>
        <v>0</v>
      </c>
    </row>
    <row r="44" spans="1:16">
      <c r="A44" s="4" t="s">
        <v>659</v>
      </c>
      <c r="B44" s="4" t="s">
        <v>22</v>
      </c>
      <c r="C44" s="105" t="s">
        <v>436</v>
      </c>
      <c r="D44" s="82"/>
      <c r="E44" s="82"/>
      <c r="F44" s="82"/>
      <c r="G44" s="82"/>
      <c r="H44" s="82"/>
      <c r="I44" s="22">
        <f>'Stavební rozpočet'!H315</f>
        <v>0</v>
      </c>
      <c r="J44" s="22">
        <f>'Stavební rozpočet'!I315</f>
        <v>5896.08</v>
      </c>
      <c r="K44" s="22">
        <f>'Stavební rozpočet'!J315</f>
        <v>5896.08</v>
      </c>
      <c r="L44" s="22">
        <f>'Stavební rozpočet'!L315</f>
        <v>0</v>
      </c>
      <c r="M44" s="22" t="s">
        <v>669</v>
      </c>
      <c r="N44" s="22">
        <f t="shared" si="0"/>
        <v>5896.08</v>
      </c>
      <c r="O44" s="4" t="s">
        <v>659</v>
      </c>
      <c r="P44" s="22">
        <f t="shared" si="1"/>
        <v>0</v>
      </c>
    </row>
    <row r="45" spans="1:16">
      <c r="A45" s="4" t="s">
        <v>659</v>
      </c>
      <c r="B45" s="4" t="s">
        <v>23</v>
      </c>
      <c r="C45" s="105" t="s">
        <v>443</v>
      </c>
      <c r="D45" s="82"/>
      <c r="E45" s="82"/>
      <c r="F45" s="82"/>
      <c r="G45" s="82"/>
      <c r="H45" s="82"/>
      <c r="I45" s="22">
        <f>'Stavební rozpočet'!H318</f>
        <v>652.79999999999995</v>
      </c>
      <c r="J45" s="22">
        <f>'Stavební rozpočet'!I318</f>
        <v>5634.12</v>
      </c>
      <c r="K45" s="22">
        <f>'Stavební rozpočet'!J318</f>
        <v>6286.92</v>
      </c>
      <c r="L45" s="22">
        <f>'Stavební rozpočet'!L318</f>
        <v>1.92</v>
      </c>
      <c r="M45" s="22" t="s">
        <v>669</v>
      </c>
      <c r="N45" s="22">
        <f t="shared" si="0"/>
        <v>6286.92</v>
      </c>
      <c r="O45" s="4" t="s">
        <v>659</v>
      </c>
      <c r="P45" s="22">
        <f t="shared" si="1"/>
        <v>0</v>
      </c>
    </row>
    <row r="46" spans="1:16">
      <c r="A46" s="4" t="s">
        <v>659</v>
      </c>
      <c r="B46" s="4" t="s">
        <v>24</v>
      </c>
      <c r="C46" s="105" t="s">
        <v>450</v>
      </c>
      <c r="D46" s="82"/>
      <c r="E46" s="82"/>
      <c r="F46" s="82"/>
      <c r="G46" s="82"/>
      <c r="H46" s="82"/>
      <c r="I46" s="22">
        <f>'Stavební rozpočet'!H322</f>
        <v>508.29600000000005</v>
      </c>
      <c r="J46" s="22">
        <f>'Stavební rozpočet'!I322</f>
        <v>3767.6</v>
      </c>
      <c r="K46" s="22">
        <f>'Stavební rozpočet'!J322</f>
        <v>4275.8959999999997</v>
      </c>
      <c r="L46" s="22">
        <f>'Stavební rozpočet'!L322</f>
        <v>0.8365999999999999</v>
      </c>
      <c r="M46" s="22" t="s">
        <v>669</v>
      </c>
      <c r="N46" s="22">
        <f t="shared" si="0"/>
        <v>4275.8959999999997</v>
      </c>
      <c r="O46" s="4" t="s">
        <v>659</v>
      </c>
      <c r="P46" s="22">
        <f t="shared" si="1"/>
        <v>0</v>
      </c>
    </row>
    <row r="47" spans="1:16">
      <c r="A47" s="4" t="s">
        <v>659</v>
      </c>
      <c r="B47" s="4" t="s">
        <v>62</v>
      </c>
      <c r="C47" s="105" t="s">
        <v>524</v>
      </c>
      <c r="D47" s="82"/>
      <c r="E47" s="82"/>
      <c r="F47" s="82"/>
      <c r="G47" s="82"/>
      <c r="H47" s="82"/>
      <c r="I47" s="22">
        <f>'Stavební rozpočet'!H334</f>
        <v>129299.17999999996</v>
      </c>
      <c r="J47" s="22">
        <f>'Stavební rozpočet'!I334</f>
        <v>21226.320000000036</v>
      </c>
      <c r="K47" s="22">
        <f>'Stavební rozpočet'!J334</f>
        <v>150525.5</v>
      </c>
      <c r="L47" s="22">
        <f>'Stavební rozpočet'!L334</f>
        <v>316.38599999999997</v>
      </c>
      <c r="M47" s="22" t="s">
        <v>669</v>
      </c>
      <c r="N47" s="22">
        <f t="shared" si="0"/>
        <v>150525.5</v>
      </c>
      <c r="O47" s="4" t="s">
        <v>659</v>
      </c>
      <c r="P47" s="22">
        <f t="shared" si="1"/>
        <v>0</v>
      </c>
    </row>
    <row r="48" spans="1:16">
      <c r="A48" s="4" t="s">
        <v>659</v>
      </c>
      <c r="B48" s="4" t="s">
        <v>63</v>
      </c>
      <c r="C48" s="105" t="s">
        <v>532</v>
      </c>
      <c r="D48" s="82"/>
      <c r="E48" s="82"/>
      <c r="F48" s="82"/>
      <c r="G48" s="82"/>
      <c r="H48" s="82"/>
      <c r="I48" s="22">
        <f>'Stavební rozpočet'!H339</f>
        <v>261365.38899383019</v>
      </c>
      <c r="J48" s="22">
        <f>'Stavební rozpočet'!I339</f>
        <v>144577.04600616975</v>
      </c>
      <c r="K48" s="22">
        <f>'Stavební rozpočet'!J339</f>
        <v>405942.43499999994</v>
      </c>
      <c r="L48" s="22">
        <f>'Stavební rozpočet'!L339</f>
        <v>112.04729999999999</v>
      </c>
      <c r="M48" s="22" t="s">
        <v>669</v>
      </c>
      <c r="N48" s="22">
        <f t="shared" si="0"/>
        <v>405942.43499999994</v>
      </c>
      <c r="O48" s="4" t="s">
        <v>659</v>
      </c>
      <c r="P48" s="22">
        <f t="shared" si="1"/>
        <v>0</v>
      </c>
    </row>
    <row r="49" spans="1:16">
      <c r="A49" s="4" t="s">
        <v>659</v>
      </c>
      <c r="B49" s="4" t="s">
        <v>97</v>
      </c>
      <c r="C49" s="105" t="s">
        <v>607</v>
      </c>
      <c r="D49" s="82"/>
      <c r="E49" s="82"/>
      <c r="F49" s="82"/>
      <c r="G49" s="82"/>
      <c r="H49" s="82"/>
      <c r="I49" s="22">
        <f>'Stavební rozpočet'!H346</f>
        <v>19903.30999999999</v>
      </c>
      <c r="J49" s="22">
        <f>'Stavební rozpočet'!I346</f>
        <v>9277.4400000000096</v>
      </c>
      <c r="K49" s="22">
        <f>'Stavební rozpočet'!J346</f>
        <v>29180.75</v>
      </c>
      <c r="L49" s="22">
        <f>'Stavební rozpočet'!L346</f>
        <v>16.710415000000001</v>
      </c>
      <c r="M49" s="22" t="s">
        <v>669</v>
      </c>
      <c r="N49" s="22">
        <f t="shared" si="0"/>
        <v>29180.75</v>
      </c>
      <c r="O49" s="4" t="s">
        <v>659</v>
      </c>
      <c r="P49" s="22">
        <f t="shared" si="1"/>
        <v>0</v>
      </c>
    </row>
    <row r="50" spans="1:16">
      <c r="A50" s="4" t="s">
        <v>659</v>
      </c>
      <c r="B50" s="4" t="s">
        <v>398</v>
      </c>
      <c r="C50" s="105" t="s">
        <v>615</v>
      </c>
      <c r="D50" s="82"/>
      <c r="E50" s="82"/>
      <c r="F50" s="82"/>
      <c r="G50" s="82"/>
      <c r="H50" s="82"/>
      <c r="I50" s="22">
        <f>'Stavební rozpočet'!H349</f>
        <v>0</v>
      </c>
      <c r="J50" s="22">
        <f>'Stavební rozpočet'!I349</f>
        <v>26739.649104000004</v>
      </c>
      <c r="K50" s="22">
        <f>'Stavební rozpočet'!J349</f>
        <v>26739.649104000004</v>
      </c>
      <c r="L50" s="22">
        <f>'Stavební rozpočet'!L349</f>
        <v>0</v>
      </c>
      <c r="M50" s="22" t="s">
        <v>669</v>
      </c>
      <c r="N50" s="22">
        <f t="shared" si="0"/>
        <v>26739.649104000004</v>
      </c>
      <c r="O50" s="4" t="s">
        <v>659</v>
      </c>
      <c r="P50" s="22">
        <f t="shared" si="1"/>
        <v>0</v>
      </c>
    </row>
    <row r="51" spans="1:16">
      <c r="A51" s="4" t="s">
        <v>659</v>
      </c>
      <c r="B51" s="4" t="s">
        <v>407</v>
      </c>
      <c r="C51" s="105" t="s">
        <v>626</v>
      </c>
      <c r="D51" s="82"/>
      <c r="E51" s="82"/>
      <c r="F51" s="82"/>
      <c r="G51" s="82"/>
      <c r="H51" s="82"/>
      <c r="I51" s="22">
        <f>'Stavební rozpočet'!H351</f>
        <v>201.34800000000004</v>
      </c>
      <c r="J51" s="22">
        <f>'Stavební rozpočet'!I351</f>
        <v>428.5019999999999</v>
      </c>
      <c r="K51" s="22">
        <f>'Stavební rozpočet'!J351</f>
        <v>629.84999999999991</v>
      </c>
      <c r="L51" s="22">
        <f>'Stavební rozpočet'!L351</f>
        <v>5.3549999999999995E-3</v>
      </c>
      <c r="M51" s="22" t="s">
        <v>669</v>
      </c>
      <c r="N51" s="22">
        <f t="shared" si="0"/>
        <v>629.84999999999991</v>
      </c>
      <c r="O51" s="4" t="s">
        <v>659</v>
      </c>
      <c r="P51" s="22">
        <f t="shared" si="1"/>
        <v>0</v>
      </c>
    </row>
    <row r="52" spans="1:16">
      <c r="A52" s="14" t="s">
        <v>659</v>
      </c>
      <c r="B52" s="14" t="s">
        <v>400</v>
      </c>
      <c r="C52" s="130" t="s">
        <v>617</v>
      </c>
      <c r="D52" s="104"/>
      <c r="E52" s="104"/>
      <c r="F52" s="104"/>
      <c r="G52" s="104"/>
      <c r="H52" s="104"/>
      <c r="I52" s="24">
        <f>'Stavební rozpočet'!H354</f>
        <v>0</v>
      </c>
      <c r="J52" s="24">
        <f>'Stavební rozpočet'!I354</f>
        <v>343248.54031999997</v>
      </c>
      <c r="K52" s="24">
        <f>'Stavební rozpočet'!J354</f>
        <v>343248.54031999997</v>
      </c>
      <c r="L52" s="24">
        <f>'Stavební rozpočet'!L354</f>
        <v>0</v>
      </c>
      <c r="M52" s="22" t="s">
        <v>669</v>
      </c>
      <c r="N52" s="22">
        <f t="shared" si="0"/>
        <v>343248.54031999997</v>
      </c>
      <c r="O52" s="4" t="s">
        <v>659</v>
      </c>
      <c r="P52" s="22">
        <f t="shared" si="1"/>
        <v>0</v>
      </c>
    </row>
    <row r="53" spans="1:16">
      <c r="A53" s="15"/>
      <c r="B53" s="15"/>
      <c r="C53" s="15"/>
      <c r="D53" s="15"/>
      <c r="E53" s="15"/>
      <c r="F53" s="15"/>
      <c r="G53" s="15"/>
      <c r="H53" s="15"/>
      <c r="I53" s="131" t="s">
        <v>646</v>
      </c>
      <c r="J53" s="116"/>
      <c r="K53" s="25">
        <f>SUM(N12:N52)</f>
        <v>5122828.2270985004</v>
      </c>
      <c r="L53" s="15"/>
    </row>
    <row r="54" spans="1:16" ht="11.25" customHeight="1">
      <c r="A54" s="16" t="s">
        <v>660</v>
      </c>
    </row>
    <row r="55" spans="1:16" ht="51.4" customHeight="1">
      <c r="A55" s="81" t="s">
        <v>661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</row>
  </sheetData>
  <mergeCells count="71">
    <mergeCell ref="J4:L5"/>
    <mergeCell ref="A1:L1"/>
    <mergeCell ref="A2:C3"/>
    <mergeCell ref="D2:D3"/>
    <mergeCell ref="E2:F3"/>
    <mergeCell ref="G2:H3"/>
    <mergeCell ref="I2:I3"/>
    <mergeCell ref="J2:L3"/>
    <mergeCell ref="A4:C5"/>
    <mergeCell ref="D4:D5"/>
    <mergeCell ref="E4:F5"/>
    <mergeCell ref="G4:H5"/>
    <mergeCell ref="I4:I5"/>
    <mergeCell ref="J8:L9"/>
    <mergeCell ref="A6:C7"/>
    <mergeCell ref="D6:D7"/>
    <mergeCell ref="E6:F7"/>
    <mergeCell ref="G6:H7"/>
    <mergeCell ref="I6:I7"/>
    <mergeCell ref="J6:L7"/>
    <mergeCell ref="A8:C9"/>
    <mergeCell ref="D8:D9"/>
    <mergeCell ref="E8:F9"/>
    <mergeCell ref="G8:H9"/>
    <mergeCell ref="I8:I9"/>
    <mergeCell ref="C20:H20"/>
    <mergeCell ref="C10:H10"/>
    <mergeCell ref="I10:K10"/>
    <mergeCell ref="C11:H11"/>
    <mergeCell ref="C12:H12"/>
    <mergeCell ref="C13:H13"/>
    <mergeCell ref="C14:H14"/>
    <mergeCell ref="C15:H15"/>
    <mergeCell ref="C16:H16"/>
    <mergeCell ref="C17:H17"/>
    <mergeCell ref="C18:H18"/>
    <mergeCell ref="C19:H19"/>
    <mergeCell ref="C32:H32"/>
    <mergeCell ref="C21:H21"/>
    <mergeCell ref="C22:H22"/>
    <mergeCell ref="C23:H23"/>
    <mergeCell ref="C24:H24"/>
    <mergeCell ref="C25:H25"/>
    <mergeCell ref="C26:H26"/>
    <mergeCell ref="C27:H27"/>
    <mergeCell ref="C28:H28"/>
    <mergeCell ref="C29:H29"/>
    <mergeCell ref="C30:H30"/>
    <mergeCell ref="C31:H31"/>
    <mergeCell ref="C44:H44"/>
    <mergeCell ref="C33:H33"/>
    <mergeCell ref="C34:H34"/>
    <mergeCell ref="C35:H35"/>
    <mergeCell ref="C36:H36"/>
    <mergeCell ref="C37:H37"/>
    <mergeCell ref="C38:H38"/>
    <mergeCell ref="C39:H39"/>
    <mergeCell ref="C40:H40"/>
    <mergeCell ref="C41:H41"/>
    <mergeCell ref="C42:H42"/>
    <mergeCell ref="C43:H43"/>
    <mergeCell ref="C51:H51"/>
    <mergeCell ref="C52:H52"/>
    <mergeCell ref="I53:J53"/>
    <mergeCell ref="A55:K55"/>
    <mergeCell ref="C45:H45"/>
    <mergeCell ref="C46:H46"/>
    <mergeCell ref="C47:H47"/>
    <mergeCell ref="C48:H48"/>
    <mergeCell ref="C49:H49"/>
    <mergeCell ref="C50:H50"/>
  </mergeCells>
  <pageMargins left="0.39400000000000002" right="0.39400000000000002" top="0.59099999999999997" bottom="0.59099999999999997" header="0.5" footer="0.5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290"/>
  <sheetViews>
    <sheetView workbookViewId="0">
      <pane ySplit="10" topLeftCell="A11" activePane="bottomLeft" state="frozenSplit"/>
      <selection pane="bottomLeft" sqref="A1:BN1"/>
    </sheetView>
  </sheetViews>
  <sheetFormatPr defaultColWidth="11.5703125" defaultRowHeight="12.75"/>
  <cols>
    <col min="1" max="66" width="2.85546875" customWidth="1"/>
    <col min="251" max="254" width="12.140625" hidden="1" customWidth="1"/>
  </cols>
  <sheetData>
    <row r="1" spans="1:253" ht="72.95" customHeight="1">
      <c r="A1" s="135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</row>
    <row r="2" spans="1:253">
      <c r="A2" s="113" t="s">
        <v>1</v>
      </c>
      <c r="B2" s="114"/>
      <c r="C2" s="114"/>
      <c r="D2" s="114"/>
      <c r="E2" s="114"/>
      <c r="F2" s="115" t="str">
        <f>'Stavební rozpočet'!D2</f>
        <v>REVITALIZACE ZELENĚ A ÚPRAVA ZPEVNĚNÝCH PLOCH ZŠ MĚSTO ALBRECHTICE</v>
      </c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66" t="s">
        <v>629</v>
      </c>
      <c r="AK2" s="114"/>
      <c r="AL2" s="114"/>
      <c r="AM2" s="114"/>
      <c r="AN2" s="114"/>
      <c r="AO2" s="114"/>
      <c r="AP2" s="114"/>
      <c r="AQ2" s="118" t="str">
        <f>'Stavební rozpočet'!G2</f>
        <v xml:space="preserve"> </v>
      </c>
      <c r="AR2" s="114"/>
      <c r="AS2" s="114"/>
      <c r="AT2" s="114"/>
      <c r="AU2" s="114"/>
      <c r="AV2" s="114"/>
      <c r="AW2" s="118" t="s">
        <v>647</v>
      </c>
      <c r="AX2" s="114"/>
      <c r="AY2" s="114"/>
      <c r="AZ2" s="114"/>
      <c r="BA2" s="114"/>
      <c r="BB2" s="114"/>
      <c r="BC2" s="114"/>
      <c r="BD2" s="118" t="str">
        <f>'Stavební rozpočet'!I2</f>
        <v>Město Albrechtice</v>
      </c>
      <c r="BE2" s="114"/>
      <c r="BF2" s="114"/>
      <c r="BG2" s="114"/>
      <c r="BH2" s="114"/>
      <c r="BI2" s="114"/>
      <c r="BJ2" s="114"/>
      <c r="BK2" s="114"/>
      <c r="BL2" s="114"/>
      <c r="BM2" s="114"/>
      <c r="BN2" s="136"/>
      <c r="BO2" s="7"/>
    </row>
    <row r="3" spans="1:253">
      <c r="A3" s="108"/>
      <c r="B3" s="82"/>
      <c r="C3" s="82"/>
      <c r="D3" s="82"/>
      <c r="E3" s="82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110"/>
      <c r="BO3" s="7"/>
    </row>
    <row r="4" spans="1:253">
      <c r="A4" s="102" t="s">
        <v>2</v>
      </c>
      <c r="B4" s="82"/>
      <c r="C4" s="82"/>
      <c r="D4" s="82"/>
      <c r="E4" s="82"/>
      <c r="F4" s="81" t="str">
        <f>'Stavební rozpočet'!D4</f>
        <v xml:space="preserve"> 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105" t="s">
        <v>630</v>
      </c>
      <c r="AK4" s="82"/>
      <c r="AL4" s="82"/>
      <c r="AM4" s="82"/>
      <c r="AN4" s="82"/>
      <c r="AO4" s="82"/>
      <c r="AP4" s="82"/>
      <c r="AQ4" s="81" t="str">
        <f>'Stavební rozpočet'!G4</f>
        <v xml:space="preserve"> </v>
      </c>
      <c r="AR4" s="82"/>
      <c r="AS4" s="82"/>
      <c r="AT4" s="82"/>
      <c r="AU4" s="82"/>
      <c r="AV4" s="82"/>
      <c r="AW4" s="81" t="s">
        <v>648</v>
      </c>
      <c r="AX4" s="82"/>
      <c r="AY4" s="82"/>
      <c r="AZ4" s="82"/>
      <c r="BA4" s="82"/>
      <c r="BB4" s="82"/>
      <c r="BC4" s="82"/>
      <c r="BD4" s="81" t="str">
        <f>'Stavební rozpočet'!I4</f>
        <v xml:space="preserve">Ing. Grigorios Akritidis_x000D_
</v>
      </c>
      <c r="BE4" s="82"/>
      <c r="BF4" s="82"/>
      <c r="BG4" s="82"/>
      <c r="BH4" s="82"/>
      <c r="BI4" s="82"/>
      <c r="BJ4" s="82"/>
      <c r="BK4" s="82"/>
      <c r="BL4" s="82"/>
      <c r="BM4" s="82"/>
      <c r="BN4" s="110"/>
      <c r="BO4" s="7"/>
    </row>
    <row r="5" spans="1:253">
      <c r="A5" s="108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110"/>
      <c r="BO5" s="7"/>
    </row>
    <row r="6" spans="1:253">
      <c r="A6" s="102" t="s">
        <v>3</v>
      </c>
      <c r="B6" s="82"/>
      <c r="C6" s="82"/>
      <c r="D6" s="82"/>
      <c r="E6" s="82"/>
      <c r="F6" s="81" t="str">
        <f>'Stavební rozpočet'!D6</f>
        <v>Město Albrechtice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105" t="s">
        <v>631</v>
      </c>
      <c r="AK6" s="82"/>
      <c r="AL6" s="82"/>
      <c r="AM6" s="82"/>
      <c r="AN6" s="82"/>
      <c r="AO6" s="82"/>
      <c r="AP6" s="82"/>
      <c r="AQ6" s="81" t="str">
        <f>'Stavební rozpočet'!G6</f>
        <v xml:space="preserve"> </v>
      </c>
      <c r="AR6" s="82"/>
      <c r="AS6" s="82"/>
      <c r="AT6" s="82"/>
      <c r="AU6" s="82"/>
      <c r="AV6" s="82"/>
      <c r="AW6" s="81" t="s">
        <v>649</v>
      </c>
      <c r="AX6" s="82"/>
      <c r="AY6" s="82"/>
      <c r="AZ6" s="82"/>
      <c r="BA6" s="82"/>
      <c r="BB6" s="82"/>
      <c r="BC6" s="82"/>
      <c r="BD6" s="81" t="str">
        <f>'Stavební rozpočet'!I6</f>
        <v> </v>
      </c>
      <c r="BE6" s="82"/>
      <c r="BF6" s="82"/>
      <c r="BG6" s="82"/>
      <c r="BH6" s="82"/>
      <c r="BI6" s="82"/>
      <c r="BJ6" s="82"/>
      <c r="BK6" s="82"/>
      <c r="BL6" s="82"/>
      <c r="BM6" s="82"/>
      <c r="BN6" s="110"/>
      <c r="BO6" s="7"/>
    </row>
    <row r="7" spans="1:253">
      <c r="A7" s="108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110"/>
      <c r="BO7" s="7"/>
    </row>
    <row r="8" spans="1:253">
      <c r="A8" s="102" t="s">
        <v>4</v>
      </c>
      <c r="B8" s="82"/>
      <c r="C8" s="82"/>
      <c r="D8" s="82"/>
      <c r="E8" s="82"/>
      <c r="F8" s="81" t="str">
        <f>'Stavební rozpočet'!D8</f>
        <v xml:space="preserve"> </v>
      </c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105" t="s">
        <v>632</v>
      </c>
      <c r="AK8" s="82"/>
      <c r="AL8" s="82"/>
      <c r="AM8" s="82"/>
      <c r="AN8" s="82"/>
      <c r="AO8" s="82"/>
      <c r="AP8" s="82"/>
      <c r="AQ8" s="81" t="str">
        <f>'Stavební rozpočet'!G8</f>
        <v>02.08.2019</v>
      </c>
      <c r="AR8" s="82"/>
      <c r="AS8" s="82"/>
      <c r="AT8" s="82"/>
      <c r="AU8" s="82"/>
      <c r="AV8" s="82"/>
      <c r="AW8" s="81" t="s">
        <v>650</v>
      </c>
      <c r="AX8" s="82"/>
      <c r="AY8" s="82"/>
      <c r="AZ8" s="82"/>
      <c r="BA8" s="82"/>
      <c r="BB8" s="82"/>
      <c r="BC8" s="82"/>
      <c r="BD8" s="81" t="str">
        <f>'Stavební rozpočet'!I8</f>
        <v>Kamil Beck</v>
      </c>
      <c r="BE8" s="82"/>
      <c r="BF8" s="82"/>
      <c r="BG8" s="82"/>
      <c r="BH8" s="82"/>
      <c r="BI8" s="82"/>
      <c r="BJ8" s="82"/>
      <c r="BK8" s="82"/>
      <c r="BL8" s="82"/>
      <c r="BM8" s="82"/>
      <c r="BN8" s="110"/>
      <c r="BO8" s="7"/>
    </row>
    <row r="9" spans="1:253">
      <c r="A9" s="103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7"/>
      <c r="BO9" s="7"/>
    </row>
    <row r="10" spans="1:253">
      <c r="A10" s="157" t="s">
        <v>5</v>
      </c>
      <c r="B10" s="159"/>
      <c r="C10" s="157" t="s">
        <v>223</v>
      </c>
      <c r="D10" s="158"/>
      <c r="E10" s="158"/>
      <c r="F10" s="158"/>
      <c r="G10" s="158"/>
      <c r="H10" s="159"/>
      <c r="I10" s="157" t="s">
        <v>409</v>
      </c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9"/>
      <c r="AL10" s="157" t="s">
        <v>633</v>
      </c>
      <c r="AM10" s="159"/>
      <c r="AN10" s="157" t="s">
        <v>644</v>
      </c>
      <c r="AO10" s="158"/>
      <c r="AP10" s="158"/>
      <c r="AQ10" s="158"/>
      <c r="AR10" s="159"/>
      <c r="AS10" s="157" t="s">
        <v>645</v>
      </c>
      <c r="AT10" s="158"/>
      <c r="AU10" s="158"/>
      <c r="AV10" s="158"/>
      <c r="AW10" s="158"/>
      <c r="AX10" s="158"/>
      <c r="AY10" s="158"/>
      <c r="AZ10" s="159"/>
      <c r="BA10" s="157" t="s">
        <v>651</v>
      </c>
      <c r="BB10" s="158"/>
      <c r="BC10" s="158"/>
      <c r="BD10" s="158"/>
      <c r="BE10" s="158"/>
      <c r="BF10" s="158"/>
      <c r="BG10" s="158"/>
      <c r="BH10" s="159"/>
      <c r="BI10" s="157" t="s">
        <v>652</v>
      </c>
      <c r="BJ10" s="158"/>
      <c r="BK10" s="158"/>
      <c r="BL10" s="158"/>
      <c r="BM10" s="158"/>
      <c r="BN10" s="160"/>
      <c r="BO10" s="7"/>
    </row>
    <row r="11" spans="1:253">
      <c r="A11" s="161" t="s">
        <v>6</v>
      </c>
      <c r="B11" s="162"/>
      <c r="C11" s="161"/>
      <c r="D11" s="162"/>
      <c r="E11" s="162"/>
      <c r="F11" s="162"/>
      <c r="G11" s="162"/>
      <c r="H11" s="162"/>
      <c r="I11" s="161" t="s">
        <v>410</v>
      </c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1" t="s">
        <v>6</v>
      </c>
      <c r="AM11" s="162"/>
      <c r="AN11" s="163" t="s">
        <v>6</v>
      </c>
      <c r="AO11" s="164"/>
      <c r="AP11" s="164"/>
      <c r="AQ11" s="164"/>
      <c r="AR11" s="164"/>
      <c r="AS11" s="163" t="s">
        <v>6</v>
      </c>
      <c r="AT11" s="164"/>
      <c r="AU11" s="164"/>
      <c r="AV11" s="164"/>
      <c r="AW11" s="164"/>
      <c r="AX11" s="164"/>
      <c r="AY11" s="164"/>
      <c r="AZ11" s="164"/>
      <c r="BA11" s="165">
        <f>BA12+BA23+BA30+BA34+BA37+BA44+BA49+BA51+BA116+BA121+BA123+BA125+BA135+BA142+BA152+BA154+BA160+BA171+BA181+BA188+BA205+BA209+BA213+BA218+BA221+BA223</f>
        <v>3981407.1791745005</v>
      </c>
      <c r="BB11" s="164"/>
      <c r="BC11" s="164"/>
      <c r="BD11" s="164"/>
      <c r="BE11" s="164"/>
      <c r="BF11" s="164"/>
      <c r="BG11" s="164"/>
      <c r="BH11" s="164"/>
      <c r="BI11" s="161" t="s">
        <v>6</v>
      </c>
      <c r="BJ11" s="162"/>
      <c r="BK11" s="162"/>
      <c r="BL11" s="162"/>
      <c r="BM11" s="162"/>
      <c r="BN11" s="162"/>
    </row>
    <row r="12" spans="1:253">
      <c r="A12" s="148" t="s">
        <v>6</v>
      </c>
      <c r="B12" s="149"/>
      <c r="C12" s="148" t="s">
        <v>224</v>
      </c>
      <c r="D12" s="149"/>
      <c r="E12" s="149"/>
      <c r="F12" s="149"/>
      <c r="G12" s="149"/>
      <c r="H12" s="149"/>
      <c r="I12" s="148" t="s">
        <v>411</v>
      </c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8" t="s">
        <v>6</v>
      </c>
      <c r="AM12" s="149"/>
      <c r="AN12" s="144" t="s">
        <v>6</v>
      </c>
      <c r="AO12" s="145"/>
      <c r="AP12" s="145"/>
      <c r="AQ12" s="145"/>
      <c r="AR12" s="145"/>
      <c r="AS12" s="144" t="s">
        <v>6</v>
      </c>
      <c r="AT12" s="145"/>
      <c r="AU12" s="145"/>
      <c r="AV12" s="145"/>
      <c r="AW12" s="145"/>
      <c r="AX12" s="145"/>
      <c r="AY12" s="145"/>
      <c r="AZ12" s="145"/>
      <c r="BA12" s="152">
        <f>SUM(BA13:BA22)</f>
        <v>185500</v>
      </c>
      <c r="BB12" s="145"/>
      <c r="BC12" s="145"/>
      <c r="BD12" s="145"/>
      <c r="BE12" s="145"/>
      <c r="BF12" s="145"/>
      <c r="BG12" s="145"/>
      <c r="BH12" s="145"/>
      <c r="BI12" s="148" t="s">
        <v>6</v>
      </c>
      <c r="BJ12" s="149"/>
      <c r="BK12" s="149"/>
      <c r="BL12" s="149"/>
      <c r="BM12" s="149"/>
      <c r="BN12" s="149"/>
    </row>
    <row r="13" spans="1:253">
      <c r="A13" s="142" t="s">
        <v>7</v>
      </c>
      <c r="B13" s="143"/>
      <c r="C13" s="142" t="s">
        <v>225</v>
      </c>
      <c r="D13" s="143"/>
      <c r="E13" s="143"/>
      <c r="F13" s="143"/>
      <c r="G13" s="143"/>
      <c r="H13" s="143"/>
      <c r="I13" s="142" t="s">
        <v>412</v>
      </c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2" t="s">
        <v>634</v>
      </c>
      <c r="AM13" s="143"/>
      <c r="AN13" s="140">
        <v>1</v>
      </c>
      <c r="AO13" s="141"/>
      <c r="AP13" s="141"/>
      <c r="AQ13" s="141"/>
      <c r="AR13" s="141"/>
      <c r="AS13" s="140">
        <v>10000</v>
      </c>
      <c r="AT13" s="141"/>
      <c r="AU13" s="141"/>
      <c r="AV13" s="141"/>
      <c r="AW13" s="141"/>
      <c r="AX13" s="141"/>
      <c r="AY13" s="141"/>
      <c r="AZ13" s="141"/>
      <c r="BA13" s="140">
        <f t="shared" ref="BA13:BA22" si="0">IR13*AN13+IS13*AN13</f>
        <v>10000</v>
      </c>
      <c r="BB13" s="141"/>
      <c r="BC13" s="141"/>
      <c r="BD13" s="141"/>
      <c r="BE13" s="141"/>
      <c r="BF13" s="141"/>
      <c r="BG13" s="141"/>
      <c r="BH13" s="141"/>
      <c r="BI13" s="142"/>
      <c r="BJ13" s="143"/>
      <c r="BK13" s="143"/>
      <c r="BL13" s="143"/>
      <c r="BM13" s="143"/>
      <c r="BN13" s="143"/>
      <c r="IR13" s="9">
        <f t="shared" ref="IR13:IR22" si="1">AS13*0</f>
        <v>0</v>
      </c>
      <c r="IS13" s="9">
        <f t="shared" ref="IS13:IS22" si="2">AS13*(1-0)</f>
        <v>10000</v>
      </c>
    </row>
    <row r="14" spans="1:253">
      <c r="A14" s="142" t="s">
        <v>8</v>
      </c>
      <c r="B14" s="143"/>
      <c r="C14" s="142" t="s">
        <v>226</v>
      </c>
      <c r="D14" s="143"/>
      <c r="E14" s="143"/>
      <c r="F14" s="143"/>
      <c r="G14" s="143"/>
      <c r="H14" s="143"/>
      <c r="I14" s="142" t="s">
        <v>413</v>
      </c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2" t="s">
        <v>634</v>
      </c>
      <c r="AM14" s="143"/>
      <c r="AN14" s="140">
        <v>1</v>
      </c>
      <c r="AO14" s="141"/>
      <c r="AP14" s="141"/>
      <c r="AQ14" s="141"/>
      <c r="AR14" s="141"/>
      <c r="AS14" s="140">
        <v>15000</v>
      </c>
      <c r="AT14" s="141"/>
      <c r="AU14" s="141"/>
      <c r="AV14" s="141"/>
      <c r="AW14" s="141"/>
      <c r="AX14" s="141"/>
      <c r="AY14" s="141"/>
      <c r="AZ14" s="141"/>
      <c r="BA14" s="140">
        <f t="shared" si="0"/>
        <v>15000</v>
      </c>
      <c r="BB14" s="141"/>
      <c r="BC14" s="141"/>
      <c r="BD14" s="141"/>
      <c r="BE14" s="141"/>
      <c r="BF14" s="141"/>
      <c r="BG14" s="141"/>
      <c r="BH14" s="141"/>
      <c r="BI14" s="142"/>
      <c r="BJ14" s="143"/>
      <c r="BK14" s="143"/>
      <c r="BL14" s="143"/>
      <c r="BM14" s="143"/>
      <c r="BN14" s="143"/>
      <c r="IR14" s="9">
        <f t="shared" si="1"/>
        <v>0</v>
      </c>
      <c r="IS14" s="9">
        <f t="shared" si="2"/>
        <v>15000</v>
      </c>
    </row>
    <row r="15" spans="1:253">
      <c r="A15" s="142" t="s">
        <v>9</v>
      </c>
      <c r="B15" s="143"/>
      <c r="C15" s="142" t="s">
        <v>226</v>
      </c>
      <c r="D15" s="143"/>
      <c r="E15" s="143"/>
      <c r="F15" s="143"/>
      <c r="G15" s="143"/>
      <c r="H15" s="143"/>
      <c r="I15" s="142" t="s">
        <v>414</v>
      </c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2" t="s">
        <v>634</v>
      </c>
      <c r="AM15" s="143"/>
      <c r="AN15" s="140">
        <v>1</v>
      </c>
      <c r="AO15" s="141"/>
      <c r="AP15" s="141"/>
      <c r="AQ15" s="141"/>
      <c r="AR15" s="141"/>
      <c r="AS15" s="140">
        <v>6500</v>
      </c>
      <c r="AT15" s="141"/>
      <c r="AU15" s="141"/>
      <c r="AV15" s="141"/>
      <c r="AW15" s="141"/>
      <c r="AX15" s="141"/>
      <c r="AY15" s="141"/>
      <c r="AZ15" s="141"/>
      <c r="BA15" s="140">
        <f t="shared" si="0"/>
        <v>6500</v>
      </c>
      <c r="BB15" s="141"/>
      <c r="BC15" s="141"/>
      <c r="BD15" s="141"/>
      <c r="BE15" s="141"/>
      <c r="BF15" s="141"/>
      <c r="BG15" s="141"/>
      <c r="BH15" s="141"/>
      <c r="BI15" s="142"/>
      <c r="BJ15" s="143"/>
      <c r="BK15" s="143"/>
      <c r="BL15" s="143"/>
      <c r="BM15" s="143"/>
      <c r="BN15" s="143"/>
      <c r="IR15" s="9">
        <f t="shared" si="1"/>
        <v>0</v>
      </c>
      <c r="IS15" s="9">
        <f t="shared" si="2"/>
        <v>6500</v>
      </c>
    </row>
    <row r="16" spans="1:253">
      <c r="A16" s="142" t="s">
        <v>10</v>
      </c>
      <c r="B16" s="143"/>
      <c r="C16" s="142" t="s">
        <v>227</v>
      </c>
      <c r="D16" s="143"/>
      <c r="E16" s="143"/>
      <c r="F16" s="143"/>
      <c r="G16" s="143"/>
      <c r="H16" s="143"/>
      <c r="I16" s="142" t="s">
        <v>415</v>
      </c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2" t="s">
        <v>634</v>
      </c>
      <c r="AM16" s="143"/>
      <c r="AN16" s="140">
        <v>1</v>
      </c>
      <c r="AO16" s="141"/>
      <c r="AP16" s="141"/>
      <c r="AQ16" s="141"/>
      <c r="AR16" s="141"/>
      <c r="AS16" s="140">
        <v>53000</v>
      </c>
      <c r="AT16" s="141"/>
      <c r="AU16" s="141"/>
      <c r="AV16" s="141"/>
      <c r="AW16" s="141"/>
      <c r="AX16" s="141"/>
      <c r="AY16" s="141"/>
      <c r="AZ16" s="141"/>
      <c r="BA16" s="140">
        <f t="shared" si="0"/>
        <v>53000</v>
      </c>
      <c r="BB16" s="141"/>
      <c r="BC16" s="141"/>
      <c r="BD16" s="141"/>
      <c r="BE16" s="141"/>
      <c r="BF16" s="141"/>
      <c r="BG16" s="141"/>
      <c r="BH16" s="141"/>
      <c r="BI16" s="142"/>
      <c r="BJ16" s="143"/>
      <c r="BK16" s="143"/>
      <c r="BL16" s="143"/>
      <c r="BM16" s="143"/>
      <c r="BN16" s="143"/>
      <c r="IR16" s="9">
        <f t="shared" si="1"/>
        <v>0</v>
      </c>
      <c r="IS16" s="9">
        <f t="shared" si="2"/>
        <v>53000</v>
      </c>
    </row>
    <row r="17" spans="1:253">
      <c r="A17" s="142" t="s">
        <v>11</v>
      </c>
      <c r="B17" s="143"/>
      <c r="C17" s="142" t="s">
        <v>228</v>
      </c>
      <c r="D17" s="143"/>
      <c r="E17" s="143"/>
      <c r="F17" s="143"/>
      <c r="G17" s="143"/>
      <c r="H17" s="143"/>
      <c r="I17" s="142" t="s">
        <v>416</v>
      </c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2" t="s">
        <v>634</v>
      </c>
      <c r="AM17" s="143"/>
      <c r="AN17" s="140">
        <v>1</v>
      </c>
      <c r="AO17" s="141"/>
      <c r="AP17" s="141"/>
      <c r="AQ17" s="141"/>
      <c r="AR17" s="141"/>
      <c r="AS17" s="140">
        <v>24000</v>
      </c>
      <c r="AT17" s="141"/>
      <c r="AU17" s="141"/>
      <c r="AV17" s="141"/>
      <c r="AW17" s="141"/>
      <c r="AX17" s="141"/>
      <c r="AY17" s="141"/>
      <c r="AZ17" s="141"/>
      <c r="BA17" s="140">
        <f t="shared" si="0"/>
        <v>24000</v>
      </c>
      <c r="BB17" s="141"/>
      <c r="BC17" s="141"/>
      <c r="BD17" s="141"/>
      <c r="BE17" s="141"/>
      <c r="BF17" s="141"/>
      <c r="BG17" s="141"/>
      <c r="BH17" s="141"/>
      <c r="BI17" s="142"/>
      <c r="BJ17" s="143"/>
      <c r="BK17" s="143"/>
      <c r="BL17" s="143"/>
      <c r="BM17" s="143"/>
      <c r="BN17" s="143"/>
      <c r="IR17" s="9">
        <f t="shared" si="1"/>
        <v>0</v>
      </c>
      <c r="IS17" s="9">
        <f t="shared" si="2"/>
        <v>24000</v>
      </c>
    </row>
    <row r="18" spans="1:253">
      <c r="A18" s="142" t="s">
        <v>12</v>
      </c>
      <c r="B18" s="143"/>
      <c r="C18" s="142" t="s">
        <v>229</v>
      </c>
      <c r="D18" s="143"/>
      <c r="E18" s="143"/>
      <c r="F18" s="143"/>
      <c r="G18" s="143"/>
      <c r="H18" s="143"/>
      <c r="I18" s="142" t="s">
        <v>417</v>
      </c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3"/>
      <c r="AJ18" s="143"/>
      <c r="AK18" s="143"/>
      <c r="AL18" s="142" t="s">
        <v>634</v>
      </c>
      <c r="AM18" s="143"/>
      <c r="AN18" s="140">
        <v>1</v>
      </c>
      <c r="AO18" s="141"/>
      <c r="AP18" s="141"/>
      <c r="AQ18" s="141"/>
      <c r="AR18" s="141"/>
      <c r="AS18" s="140">
        <v>10000</v>
      </c>
      <c r="AT18" s="141"/>
      <c r="AU18" s="141"/>
      <c r="AV18" s="141"/>
      <c r="AW18" s="141"/>
      <c r="AX18" s="141"/>
      <c r="AY18" s="141"/>
      <c r="AZ18" s="141"/>
      <c r="BA18" s="140">
        <f t="shared" si="0"/>
        <v>10000</v>
      </c>
      <c r="BB18" s="141"/>
      <c r="BC18" s="141"/>
      <c r="BD18" s="141"/>
      <c r="BE18" s="141"/>
      <c r="BF18" s="141"/>
      <c r="BG18" s="141"/>
      <c r="BH18" s="141"/>
      <c r="BI18" s="142"/>
      <c r="BJ18" s="143"/>
      <c r="BK18" s="143"/>
      <c r="BL18" s="143"/>
      <c r="BM18" s="143"/>
      <c r="BN18" s="143"/>
      <c r="IR18" s="9">
        <f t="shared" si="1"/>
        <v>0</v>
      </c>
      <c r="IS18" s="9">
        <f t="shared" si="2"/>
        <v>10000</v>
      </c>
    </row>
    <row r="19" spans="1:253">
      <c r="A19" s="142" t="s">
        <v>13</v>
      </c>
      <c r="B19" s="143"/>
      <c r="C19" s="142" t="s">
        <v>230</v>
      </c>
      <c r="D19" s="143"/>
      <c r="E19" s="143"/>
      <c r="F19" s="143"/>
      <c r="G19" s="143"/>
      <c r="H19" s="143"/>
      <c r="I19" s="142" t="s">
        <v>418</v>
      </c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2" t="s">
        <v>634</v>
      </c>
      <c r="AM19" s="143"/>
      <c r="AN19" s="140">
        <v>1</v>
      </c>
      <c r="AO19" s="141"/>
      <c r="AP19" s="141"/>
      <c r="AQ19" s="141"/>
      <c r="AR19" s="141"/>
      <c r="AS19" s="140">
        <v>20000</v>
      </c>
      <c r="AT19" s="141"/>
      <c r="AU19" s="141"/>
      <c r="AV19" s="141"/>
      <c r="AW19" s="141"/>
      <c r="AX19" s="141"/>
      <c r="AY19" s="141"/>
      <c r="AZ19" s="141"/>
      <c r="BA19" s="140">
        <f t="shared" si="0"/>
        <v>20000</v>
      </c>
      <c r="BB19" s="141"/>
      <c r="BC19" s="141"/>
      <c r="BD19" s="141"/>
      <c r="BE19" s="141"/>
      <c r="BF19" s="141"/>
      <c r="BG19" s="141"/>
      <c r="BH19" s="141"/>
      <c r="BI19" s="142"/>
      <c r="BJ19" s="143"/>
      <c r="BK19" s="143"/>
      <c r="BL19" s="143"/>
      <c r="BM19" s="143"/>
      <c r="BN19" s="143"/>
      <c r="IR19" s="9">
        <f t="shared" si="1"/>
        <v>0</v>
      </c>
      <c r="IS19" s="9">
        <f t="shared" si="2"/>
        <v>20000</v>
      </c>
    </row>
    <row r="20" spans="1:253">
      <c r="A20" s="142" t="s">
        <v>14</v>
      </c>
      <c r="B20" s="143"/>
      <c r="C20" s="142" t="s">
        <v>231</v>
      </c>
      <c r="D20" s="143"/>
      <c r="E20" s="143"/>
      <c r="F20" s="143"/>
      <c r="G20" s="143"/>
      <c r="H20" s="143"/>
      <c r="I20" s="142" t="s">
        <v>419</v>
      </c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3"/>
      <c r="AA20" s="143"/>
      <c r="AB20" s="143"/>
      <c r="AC20" s="143"/>
      <c r="AD20" s="143"/>
      <c r="AE20" s="143"/>
      <c r="AF20" s="143"/>
      <c r="AG20" s="143"/>
      <c r="AH20" s="143"/>
      <c r="AI20" s="143"/>
      <c r="AJ20" s="143"/>
      <c r="AK20" s="143"/>
      <c r="AL20" s="142" t="s">
        <v>634</v>
      </c>
      <c r="AM20" s="143"/>
      <c r="AN20" s="140">
        <v>1</v>
      </c>
      <c r="AO20" s="141"/>
      <c r="AP20" s="141"/>
      <c r="AQ20" s="141"/>
      <c r="AR20" s="141"/>
      <c r="AS20" s="140">
        <v>5000</v>
      </c>
      <c r="AT20" s="141"/>
      <c r="AU20" s="141"/>
      <c r="AV20" s="141"/>
      <c r="AW20" s="141"/>
      <c r="AX20" s="141"/>
      <c r="AY20" s="141"/>
      <c r="AZ20" s="141"/>
      <c r="BA20" s="140">
        <f t="shared" si="0"/>
        <v>5000</v>
      </c>
      <c r="BB20" s="141"/>
      <c r="BC20" s="141"/>
      <c r="BD20" s="141"/>
      <c r="BE20" s="141"/>
      <c r="BF20" s="141"/>
      <c r="BG20" s="141"/>
      <c r="BH20" s="141"/>
      <c r="BI20" s="142"/>
      <c r="BJ20" s="143"/>
      <c r="BK20" s="143"/>
      <c r="BL20" s="143"/>
      <c r="BM20" s="143"/>
      <c r="BN20" s="143"/>
      <c r="IR20" s="9">
        <f t="shared" si="1"/>
        <v>0</v>
      </c>
      <c r="IS20" s="9">
        <f t="shared" si="2"/>
        <v>5000</v>
      </c>
    </row>
    <row r="21" spans="1:253">
      <c r="A21" s="142" t="s">
        <v>15</v>
      </c>
      <c r="B21" s="143"/>
      <c r="C21" s="142" t="s">
        <v>232</v>
      </c>
      <c r="D21" s="143"/>
      <c r="E21" s="143"/>
      <c r="F21" s="143"/>
      <c r="G21" s="143"/>
      <c r="H21" s="143"/>
      <c r="I21" s="142" t="s">
        <v>420</v>
      </c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2" t="s">
        <v>634</v>
      </c>
      <c r="AM21" s="143"/>
      <c r="AN21" s="140">
        <v>1</v>
      </c>
      <c r="AO21" s="141"/>
      <c r="AP21" s="141"/>
      <c r="AQ21" s="141"/>
      <c r="AR21" s="141"/>
      <c r="AS21" s="140">
        <v>16000</v>
      </c>
      <c r="AT21" s="141"/>
      <c r="AU21" s="141"/>
      <c r="AV21" s="141"/>
      <c r="AW21" s="141"/>
      <c r="AX21" s="141"/>
      <c r="AY21" s="141"/>
      <c r="AZ21" s="141"/>
      <c r="BA21" s="140">
        <f t="shared" si="0"/>
        <v>16000</v>
      </c>
      <c r="BB21" s="141"/>
      <c r="BC21" s="141"/>
      <c r="BD21" s="141"/>
      <c r="BE21" s="141"/>
      <c r="BF21" s="141"/>
      <c r="BG21" s="141"/>
      <c r="BH21" s="141"/>
      <c r="BI21" s="142"/>
      <c r="BJ21" s="143"/>
      <c r="BK21" s="143"/>
      <c r="BL21" s="143"/>
      <c r="BM21" s="143"/>
      <c r="BN21" s="143"/>
      <c r="IR21" s="9">
        <f t="shared" si="1"/>
        <v>0</v>
      </c>
      <c r="IS21" s="9">
        <f t="shared" si="2"/>
        <v>16000</v>
      </c>
    </row>
    <row r="22" spans="1:253">
      <c r="A22" s="142" t="s">
        <v>16</v>
      </c>
      <c r="B22" s="143"/>
      <c r="C22" s="142" t="s">
        <v>233</v>
      </c>
      <c r="D22" s="143"/>
      <c r="E22" s="143"/>
      <c r="F22" s="143"/>
      <c r="G22" s="143"/>
      <c r="H22" s="143"/>
      <c r="I22" s="142" t="s">
        <v>421</v>
      </c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2" t="s">
        <v>634</v>
      </c>
      <c r="AM22" s="143"/>
      <c r="AN22" s="140">
        <v>1</v>
      </c>
      <c r="AO22" s="141"/>
      <c r="AP22" s="141"/>
      <c r="AQ22" s="141"/>
      <c r="AR22" s="141"/>
      <c r="AS22" s="140">
        <v>26000</v>
      </c>
      <c r="AT22" s="141"/>
      <c r="AU22" s="141"/>
      <c r="AV22" s="141"/>
      <c r="AW22" s="141"/>
      <c r="AX22" s="141"/>
      <c r="AY22" s="141"/>
      <c r="AZ22" s="141"/>
      <c r="BA22" s="140">
        <f t="shared" si="0"/>
        <v>26000</v>
      </c>
      <c r="BB22" s="141"/>
      <c r="BC22" s="141"/>
      <c r="BD22" s="141"/>
      <c r="BE22" s="141"/>
      <c r="BF22" s="141"/>
      <c r="BG22" s="141"/>
      <c r="BH22" s="141"/>
      <c r="BI22" s="142"/>
      <c r="BJ22" s="143"/>
      <c r="BK22" s="143"/>
      <c r="BL22" s="143"/>
      <c r="BM22" s="143"/>
      <c r="BN22" s="143"/>
      <c r="IR22" s="9">
        <f t="shared" si="1"/>
        <v>0</v>
      </c>
      <c r="IS22" s="9">
        <f t="shared" si="2"/>
        <v>26000</v>
      </c>
    </row>
    <row r="23" spans="1:253">
      <c r="A23" s="148" t="s">
        <v>6</v>
      </c>
      <c r="B23" s="149"/>
      <c r="C23" s="148" t="s">
        <v>17</v>
      </c>
      <c r="D23" s="149"/>
      <c r="E23" s="149"/>
      <c r="F23" s="149"/>
      <c r="G23" s="149"/>
      <c r="H23" s="149"/>
      <c r="I23" s="148" t="s">
        <v>422</v>
      </c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49"/>
      <c r="AK23" s="149"/>
      <c r="AL23" s="148" t="s">
        <v>6</v>
      </c>
      <c r="AM23" s="149"/>
      <c r="AN23" s="144" t="s">
        <v>6</v>
      </c>
      <c r="AO23" s="145"/>
      <c r="AP23" s="145"/>
      <c r="AQ23" s="145"/>
      <c r="AR23" s="145"/>
      <c r="AS23" s="144" t="s">
        <v>6</v>
      </c>
      <c r="AT23" s="145"/>
      <c r="AU23" s="145"/>
      <c r="AV23" s="145"/>
      <c r="AW23" s="145"/>
      <c r="AX23" s="145"/>
      <c r="AY23" s="145"/>
      <c r="AZ23" s="145"/>
      <c r="BA23" s="152">
        <f>SUM(BA24:BA29)</f>
        <v>228297.71000000002</v>
      </c>
      <c r="BB23" s="145"/>
      <c r="BC23" s="145"/>
      <c r="BD23" s="145"/>
      <c r="BE23" s="145"/>
      <c r="BF23" s="145"/>
      <c r="BG23" s="145"/>
      <c r="BH23" s="145"/>
      <c r="BI23" s="148" t="s">
        <v>6</v>
      </c>
      <c r="BJ23" s="149"/>
      <c r="BK23" s="149"/>
      <c r="BL23" s="149"/>
      <c r="BM23" s="149"/>
      <c r="BN23" s="149"/>
    </row>
    <row r="24" spans="1:253">
      <c r="A24" s="142" t="s">
        <v>17</v>
      </c>
      <c r="B24" s="143"/>
      <c r="C24" s="142" t="s">
        <v>234</v>
      </c>
      <c r="D24" s="143"/>
      <c r="E24" s="143"/>
      <c r="F24" s="143"/>
      <c r="G24" s="143"/>
      <c r="H24" s="143"/>
      <c r="I24" s="142" t="s">
        <v>423</v>
      </c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2" t="s">
        <v>635</v>
      </c>
      <c r="AM24" s="143"/>
      <c r="AN24" s="140">
        <v>210.5</v>
      </c>
      <c r="AO24" s="141"/>
      <c r="AP24" s="141"/>
      <c r="AQ24" s="141"/>
      <c r="AR24" s="141"/>
      <c r="AS24" s="140">
        <v>91</v>
      </c>
      <c r="AT24" s="141"/>
      <c r="AU24" s="141"/>
      <c r="AV24" s="141"/>
      <c r="AW24" s="141"/>
      <c r="AX24" s="141"/>
      <c r="AY24" s="141"/>
      <c r="AZ24" s="141"/>
      <c r="BA24" s="140">
        <f t="shared" ref="BA24:BA29" si="3">IR24*AN24+IS24*AN24</f>
        <v>19155.5</v>
      </c>
      <c r="BB24" s="141"/>
      <c r="BC24" s="141"/>
      <c r="BD24" s="141"/>
      <c r="BE24" s="141"/>
      <c r="BF24" s="141"/>
      <c r="BG24" s="141"/>
      <c r="BH24" s="141"/>
      <c r="BI24" s="142" t="s">
        <v>653</v>
      </c>
      <c r="BJ24" s="143"/>
      <c r="BK24" s="143"/>
      <c r="BL24" s="143"/>
      <c r="BM24" s="143"/>
      <c r="BN24" s="143"/>
      <c r="IR24" s="9">
        <f t="shared" ref="IR24:IR29" si="4">AS24*0</f>
        <v>0</v>
      </c>
      <c r="IS24" s="9">
        <f t="shared" ref="IS24:IS29" si="5">AS24*(1-0)</f>
        <v>91</v>
      </c>
    </row>
    <row r="25" spans="1:253">
      <c r="A25" s="142" t="s">
        <v>18</v>
      </c>
      <c r="B25" s="143"/>
      <c r="C25" s="142" t="s">
        <v>235</v>
      </c>
      <c r="D25" s="143"/>
      <c r="E25" s="143"/>
      <c r="F25" s="143"/>
      <c r="G25" s="143"/>
      <c r="H25" s="143"/>
      <c r="I25" s="142" t="s">
        <v>424</v>
      </c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  <c r="AL25" s="142" t="s">
        <v>636</v>
      </c>
      <c r="AM25" s="143"/>
      <c r="AN25" s="140">
        <v>930</v>
      </c>
      <c r="AO25" s="141"/>
      <c r="AP25" s="141"/>
      <c r="AQ25" s="141"/>
      <c r="AR25" s="141"/>
      <c r="AS25" s="140">
        <v>125.99</v>
      </c>
      <c r="AT25" s="141"/>
      <c r="AU25" s="141"/>
      <c r="AV25" s="141"/>
      <c r="AW25" s="141"/>
      <c r="AX25" s="141"/>
      <c r="AY25" s="141"/>
      <c r="AZ25" s="141"/>
      <c r="BA25" s="140">
        <f t="shared" si="3"/>
        <v>117170.7</v>
      </c>
      <c r="BB25" s="141"/>
      <c r="BC25" s="141"/>
      <c r="BD25" s="141"/>
      <c r="BE25" s="141"/>
      <c r="BF25" s="141"/>
      <c r="BG25" s="141"/>
      <c r="BH25" s="141"/>
      <c r="BI25" s="142" t="s">
        <v>653</v>
      </c>
      <c r="BJ25" s="143"/>
      <c r="BK25" s="143"/>
      <c r="BL25" s="143"/>
      <c r="BM25" s="143"/>
      <c r="BN25" s="143"/>
      <c r="IR25" s="9">
        <f t="shared" si="4"/>
        <v>0</v>
      </c>
      <c r="IS25" s="9">
        <f t="shared" si="5"/>
        <v>125.99</v>
      </c>
    </row>
    <row r="26" spans="1:253">
      <c r="A26" s="142" t="s">
        <v>19</v>
      </c>
      <c r="B26" s="143"/>
      <c r="C26" s="142" t="s">
        <v>236</v>
      </c>
      <c r="D26" s="143"/>
      <c r="E26" s="143"/>
      <c r="F26" s="143"/>
      <c r="G26" s="143"/>
      <c r="H26" s="143"/>
      <c r="I26" s="142" t="s">
        <v>425</v>
      </c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43"/>
      <c r="AL26" s="142" t="s">
        <v>636</v>
      </c>
      <c r="AM26" s="143"/>
      <c r="AN26" s="140">
        <v>930</v>
      </c>
      <c r="AO26" s="141"/>
      <c r="AP26" s="141"/>
      <c r="AQ26" s="141"/>
      <c r="AR26" s="141"/>
      <c r="AS26" s="140">
        <v>73.900000000000006</v>
      </c>
      <c r="AT26" s="141"/>
      <c r="AU26" s="141"/>
      <c r="AV26" s="141"/>
      <c r="AW26" s="141"/>
      <c r="AX26" s="141"/>
      <c r="AY26" s="141"/>
      <c r="AZ26" s="141"/>
      <c r="BA26" s="140">
        <f t="shared" si="3"/>
        <v>68727</v>
      </c>
      <c r="BB26" s="141"/>
      <c r="BC26" s="141"/>
      <c r="BD26" s="141"/>
      <c r="BE26" s="141"/>
      <c r="BF26" s="141"/>
      <c r="BG26" s="141"/>
      <c r="BH26" s="141"/>
      <c r="BI26" s="142" t="s">
        <v>653</v>
      </c>
      <c r="BJ26" s="143"/>
      <c r="BK26" s="143"/>
      <c r="BL26" s="143"/>
      <c r="BM26" s="143"/>
      <c r="BN26" s="143"/>
      <c r="IR26" s="9">
        <f t="shared" si="4"/>
        <v>0</v>
      </c>
      <c r="IS26" s="9">
        <f t="shared" si="5"/>
        <v>73.900000000000006</v>
      </c>
    </row>
    <row r="27" spans="1:253">
      <c r="A27" s="142" t="s">
        <v>20</v>
      </c>
      <c r="B27" s="143"/>
      <c r="C27" s="142" t="s">
        <v>237</v>
      </c>
      <c r="D27" s="143"/>
      <c r="E27" s="143"/>
      <c r="F27" s="143"/>
      <c r="G27" s="143"/>
      <c r="H27" s="143"/>
      <c r="I27" s="142" t="s">
        <v>426</v>
      </c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2" t="s">
        <v>636</v>
      </c>
      <c r="AM27" s="143"/>
      <c r="AN27" s="140">
        <v>59.25</v>
      </c>
      <c r="AO27" s="141"/>
      <c r="AP27" s="141"/>
      <c r="AQ27" s="141"/>
      <c r="AR27" s="141"/>
      <c r="AS27" s="140">
        <v>59.2</v>
      </c>
      <c r="AT27" s="141"/>
      <c r="AU27" s="141"/>
      <c r="AV27" s="141"/>
      <c r="AW27" s="141"/>
      <c r="AX27" s="141"/>
      <c r="AY27" s="141"/>
      <c r="AZ27" s="141"/>
      <c r="BA27" s="140">
        <f t="shared" si="3"/>
        <v>3507.6000000000004</v>
      </c>
      <c r="BB27" s="141"/>
      <c r="BC27" s="141"/>
      <c r="BD27" s="141"/>
      <c r="BE27" s="141"/>
      <c r="BF27" s="141"/>
      <c r="BG27" s="141"/>
      <c r="BH27" s="141"/>
      <c r="BI27" s="142" t="s">
        <v>653</v>
      </c>
      <c r="BJ27" s="143"/>
      <c r="BK27" s="143"/>
      <c r="BL27" s="143"/>
      <c r="BM27" s="143"/>
      <c r="BN27" s="143"/>
      <c r="IR27" s="9">
        <f t="shared" si="4"/>
        <v>0</v>
      </c>
      <c r="IS27" s="9">
        <f t="shared" si="5"/>
        <v>59.2</v>
      </c>
    </row>
    <row r="28" spans="1:253">
      <c r="A28" s="142" t="s">
        <v>21</v>
      </c>
      <c r="B28" s="143"/>
      <c r="C28" s="142" t="s">
        <v>238</v>
      </c>
      <c r="D28" s="143"/>
      <c r="E28" s="143"/>
      <c r="F28" s="143"/>
      <c r="G28" s="143"/>
      <c r="H28" s="143"/>
      <c r="I28" s="142" t="s">
        <v>427</v>
      </c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3"/>
      <c r="AL28" s="142" t="s">
        <v>637</v>
      </c>
      <c r="AM28" s="143"/>
      <c r="AN28" s="140">
        <v>9</v>
      </c>
      <c r="AO28" s="141"/>
      <c r="AP28" s="141"/>
      <c r="AQ28" s="141"/>
      <c r="AR28" s="141"/>
      <c r="AS28" s="140">
        <v>566.99</v>
      </c>
      <c r="AT28" s="141"/>
      <c r="AU28" s="141"/>
      <c r="AV28" s="141"/>
      <c r="AW28" s="141"/>
      <c r="AX28" s="141"/>
      <c r="AY28" s="141"/>
      <c r="AZ28" s="141"/>
      <c r="BA28" s="140">
        <f t="shared" si="3"/>
        <v>5102.91</v>
      </c>
      <c r="BB28" s="141"/>
      <c r="BC28" s="141"/>
      <c r="BD28" s="141"/>
      <c r="BE28" s="141"/>
      <c r="BF28" s="141"/>
      <c r="BG28" s="141"/>
      <c r="BH28" s="141"/>
      <c r="BI28" s="142" t="s">
        <v>653</v>
      </c>
      <c r="BJ28" s="143"/>
      <c r="BK28" s="143"/>
      <c r="BL28" s="143"/>
      <c r="BM28" s="143"/>
      <c r="BN28" s="143"/>
      <c r="IR28" s="9">
        <f t="shared" si="4"/>
        <v>0</v>
      </c>
      <c r="IS28" s="9">
        <f t="shared" si="5"/>
        <v>566.99</v>
      </c>
    </row>
    <row r="29" spans="1:253">
      <c r="A29" s="142" t="s">
        <v>22</v>
      </c>
      <c r="B29" s="143"/>
      <c r="C29" s="142" t="s">
        <v>239</v>
      </c>
      <c r="D29" s="143"/>
      <c r="E29" s="143"/>
      <c r="F29" s="143"/>
      <c r="G29" s="143"/>
      <c r="H29" s="143"/>
      <c r="I29" s="142" t="s">
        <v>428</v>
      </c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2" t="s">
        <v>637</v>
      </c>
      <c r="AM29" s="143"/>
      <c r="AN29" s="140">
        <v>9</v>
      </c>
      <c r="AO29" s="141"/>
      <c r="AP29" s="141"/>
      <c r="AQ29" s="141"/>
      <c r="AR29" s="141"/>
      <c r="AS29" s="140">
        <v>1626</v>
      </c>
      <c r="AT29" s="141"/>
      <c r="AU29" s="141"/>
      <c r="AV29" s="141"/>
      <c r="AW29" s="141"/>
      <c r="AX29" s="141"/>
      <c r="AY29" s="141"/>
      <c r="AZ29" s="141"/>
      <c r="BA29" s="140">
        <f t="shared" si="3"/>
        <v>14634</v>
      </c>
      <c r="BB29" s="141"/>
      <c r="BC29" s="141"/>
      <c r="BD29" s="141"/>
      <c r="BE29" s="141"/>
      <c r="BF29" s="141"/>
      <c r="BG29" s="141"/>
      <c r="BH29" s="141"/>
      <c r="BI29" s="142" t="s">
        <v>654</v>
      </c>
      <c r="BJ29" s="143"/>
      <c r="BK29" s="143"/>
      <c r="BL29" s="143"/>
      <c r="BM29" s="143"/>
      <c r="BN29" s="143"/>
      <c r="IR29" s="9">
        <f t="shared" si="4"/>
        <v>0</v>
      </c>
      <c r="IS29" s="9">
        <f t="shared" si="5"/>
        <v>1626</v>
      </c>
    </row>
    <row r="30" spans="1:253">
      <c r="A30" s="148" t="s">
        <v>6</v>
      </c>
      <c r="B30" s="149"/>
      <c r="C30" s="148" t="s">
        <v>18</v>
      </c>
      <c r="D30" s="149"/>
      <c r="E30" s="149"/>
      <c r="F30" s="149"/>
      <c r="G30" s="149"/>
      <c r="H30" s="149"/>
      <c r="I30" s="148" t="s">
        <v>429</v>
      </c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8" t="s">
        <v>6</v>
      </c>
      <c r="AM30" s="149"/>
      <c r="AN30" s="144" t="s">
        <v>6</v>
      </c>
      <c r="AO30" s="145"/>
      <c r="AP30" s="145"/>
      <c r="AQ30" s="145"/>
      <c r="AR30" s="145"/>
      <c r="AS30" s="144" t="s">
        <v>6</v>
      </c>
      <c r="AT30" s="145"/>
      <c r="AU30" s="145"/>
      <c r="AV30" s="145"/>
      <c r="AW30" s="145"/>
      <c r="AX30" s="145"/>
      <c r="AY30" s="145"/>
      <c r="AZ30" s="145"/>
      <c r="BA30" s="152">
        <f>SUM(BA31:BA33)</f>
        <v>14343.334499999997</v>
      </c>
      <c r="BB30" s="145"/>
      <c r="BC30" s="145"/>
      <c r="BD30" s="145"/>
      <c r="BE30" s="145"/>
      <c r="BF30" s="145"/>
      <c r="BG30" s="145"/>
      <c r="BH30" s="145"/>
      <c r="BI30" s="148" t="s">
        <v>6</v>
      </c>
      <c r="BJ30" s="149"/>
      <c r="BK30" s="149"/>
      <c r="BL30" s="149"/>
      <c r="BM30" s="149"/>
      <c r="BN30" s="149"/>
    </row>
    <row r="31" spans="1:253">
      <c r="A31" s="142" t="s">
        <v>23</v>
      </c>
      <c r="B31" s="143"/>
      <c r="C31" s="142" t="s">
        <v>240</v>
      </c>
      <c r="D31" s="143"/>
      <c r="E31" s="143"/>
      <c r="F31" s="143"/>
      <c r="G31" s="143"/>
      <c r="H31" s="143"/>
      <c r="I31" s="142" t="s">
        <v>430</v>
      </c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2" t="s">
        <v>638</v>
      </c>
      <c r="AM31" s="143"/>
      <c r="AN31" s="140">
        <v>18.25</v>
      </c>
      <c r="AO31" s="141"/>
      <c r="AP31" s="141"/>
      <c r="AQ31" s="141"/>
      <c r="AR31" s="141"/>
      <c r="AS31" s="140">
        <v>74.099999999999994</v>
      </c>
      <c r="AT31" s="141"/>
      <c r="AU31" s="141"/>
      <c r="AV31" s="141"/>
      <c r="AW31" s="141"/>
      <c r="AX31" s="141"/>
      <c r="AY31" s="141"/>
      <c r="AZ31" s="141"/>
      <c r="BA31" s="140">
        <f>IR31*AN31+IS31*AN31</f>
        <v>1352.3249999999998</v>
      </c>
      <c r="BB31" s="141"/>
      <c r="BC31" s="141"/>
      <c r="BD31" s="141"/>
      <c r="BE31" s="141"/>
      <c r="BF31" s="141"/>
      <c r="BG31" s="141"/>
      <c r="BH31" s="141"/>
      <c r="BI31" s="142" t="s">
        <v>653</v>
      </c>
      <c r="BJ31" s="143"/>
      <c r="BK31" s="143"/>
      <c r="BL31" s="143"/>
      <c r="BM31" s="143"/>
      <c r="BN31" s="143"/>
      <c r="IR31" s="9">
        <f>AS31*0</f>
        <v>0</v>
      </c>
      <c r="IS31" s="9">
        <f>AS31*(1-0)</f>
        <v>74.099999999999994</v>
      </c>
    </row>
    <row r="32" spans="1:253">
      <c r="A32" s="142" t="s">
        <v>24</v>
      </c>
      <c r="B32" s="143"/>
      <c r="C32" s="142" t="s">
        <v>241</v>
      </c>
      <c r="D32" s="143"/>
      <c r="E32" s="143"/>
      <c r="F32" s="143"/>
      <c r="G32" s="143"/>
      <c r="H32" s="143"/>
      <c r="I32" s="142" t="s">
        <v>431</v>
      </c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2" t="s">
        <v>638</v>
      </c>
      <c r="AM32" s="143"/>
      <c r="AN32" s="140">
        <v>58.05</v>
      </c>
      <c r="AO32" s="141"/>
      <c r="AP32" s="141"/>
      <c r="AQ32" s="141"/>
      <c r="AR32" s="141"/>
      <c r="AS32" s="140">
        <v>186.5</v>
      </c>
      <c r="AT32" s="141"/>
      <c r="AU32" s="141"/>
      <c r="AV32" s="141"/>
      <c r="AW32" s="141"/>
      <c r="AX32" s="141"/>
      <c r="AY32" s="141"/>
      <c r="AZ32" s="141"/>
      <c r="BA32" s="140">
        <f>IR32*AN32+IS32*AN32</f>
        <v>10826.324999999999</v>
      </c>
      <c r="BB32" s="141"/>
      <c r="BC32" s="141"/>
      <c r="BD32" s="141"/>
      <c r="BE32" s="141"/>
      <c r="BF32" s="141"/>
      <c r="BG32" s="141"/>
      <c r="BH32" s="141"/>
      <c r="BI32" s="142" t="s">
        <v>653</v>
      </c>
      <c r="BJ32" s="143"/>
      <c r="BK32" s="143"/>
      <c r="BL32" s="143"/>
      <c r="BM32" s="143"/>
      <c r="BN32" s="143"/>
      <c r="IR32" s="9">
        <f>AS32*0</f>
        <v>0</v>
      </c>
      <c r="IS32" s="9">
        <f>AS32*(1-0)</f>
        <v>186.5</v>
      </c>
    </row>
    <row r="33" spans="1:253">
      <c r="A33" s="142" t="s">
        <v>25</v>
      </c>
      <c r="B33" s="143"/>
      <c r="C33" s="142" t="s">
        <v>242</v>
      </c>
      <c r="D33" s="143"/>
      <c r="E33" s="143"/>
      <c r="F33" s="143"/>
      <c r="G33" s="143"/>
      <c r="H33" s="143"/>
      <c r="I33" s="142" t="s">
        <v>432</v>
      </c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2" t="s">
        <v>638</v>
      </c>
      <c r="AM33" s="143"/>
      <c r="AN33" s="140">
        <v>58.05</v>
      </c>
      <c r="AO33" s="141"/>
      <c r="AP33" s="141"/>
      <c r="AQ33" s="141"/>
      <c r="AR33" s="141"/>
      <c r="AS33" s="140">
        <v>37.29</v>
      </c>
      <c r="AT33" s="141"/>
      <c r="AU33" s="141"/>
      <c r="AV33" s="141"/>
      <c r="AW33" s="141"/>
      <c r="AX33" s="141"/>
      <c r="AY33" s="141"/>
      <c r="AZ33" s="141"/>
      <c r="BA33" s="140">
        <f>IR33*AN33+IS33*AN33</f>
        <v>2164.6844999999998</v>
      </c>
      <c r="BB33" s="141"/>
      <c r="BC33" s="141"/>
      <c r="BD33" s="141"/>
      <c r="BE33" s="141"/>
      <c r="BF33" s="141"/>
      <c r="BG33" s="141"/>
      <c r="BH33" s="141"/>
      <c r="BI33" s="142" t="s">
        <v>653</v>
      </c>
      <c r="BJ33" s="143"/>
      <c r="BK33" s="143"/>
      <c r="BL33" s="143"/>
      <c r="BM33" s="143"/>
      <c r="BN33" s="143"/>
      <c r="IR33" s="9">
        <f>AS33*0</f>
        <v>0</v>
      </c>
      <c r="IS33" s="9">
        <f>AS33*(1-0)</f>
        <v>37.29</v>
      </c>
    </row>
    <row r="34" spans="1:253">
      <c r="A34" s="148" t="s">
        <v>6</v>
      </c>
      <c r="B34" s="149"/>
      <c r="C34" s="148" t="s">
        <v>19</v>
      </c>
      <c r="D34" s="149"/>
      <c r="E34" s="149"/>
      <c r="F34" s="149"/>
      <c r="G34" s="149"/>
      <c r="H34" s="149"/>
      <c r="I34" s="148" t="s">
        <v>433</v>
      </c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8" t="s">
        <v>6</v>
      </c>
      <c r="AM34" s="149"/>
      <c r="AN34" s="144" t="s">
        <v>6</v>
      </c>
      <c r="AO34" s="145"/>
      <c r="AP34" s="145"/>
      <c r="AQ34" s="145"/>
      <c r="AR34" s="145"/>
      <c r="AS34" s="144" t="s">
        <v>6</v>
      </c>
      <c r="AT34" s="145"/>
      <c r="AU34" s="145"/>
      <c r="AV34" s="145"/>
      <c r="AW34" s="145"/>
      <c r="AX34" s="145"/>
      <c r="AY34" s="145"/>
      <c r="AZ34" s="145"/>
      <c r="BA34" s="152">
        <f>SUM(BA35:BA36)</f>
        <v>2037.1805999999999</v>
      </c>
      <c r="BB34" s="145"/>
      <c r="BC34" s="145"/>
      <c r="BD34" s="145"/>
      <c r="BE34" s="145"/>
      <c r="BF34" s="145"/>
      <c r="BG34" s="145"/>
      <c r="BH34" s="145"/>
      <c r="BI34" s="148" t="s">
        <v>6</v>
      </c>
      <c r="BJ34" s="149"/>
      <c r="BK34" s="149"/>
      <c r="BL34" s="149"/>
      <c r="BM34" s="149"/>
      <c r="BN34" s="149"/>
    </row>
    <row r="35" spans="1:253">
      <c r="A35" s="142" t="s">
        <v>26</v>
      </c>
      <c r="B35" s="143"/>
      <c r="C35" s="142" t="s">
        <v>243</v>
      </c>
      <c r="D35" s="143"/>
      <c r="E35" s="143"/>
      <c r="F35" s="143"/>
      <c r="G35" s="143"/>
      <c r="H35" s="143"/>
      <c r="I35" s="142" t="s">
        <v>434</v>
      </c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2" t="s">
        <v>638</v>
      </c>
      <c r="AM35" s="143"/>
      <c r="AN35" s="140">
        <v>5.46</v>
      </c>
      <c r="AO35" s="141"/>
      <c r="AP35" s="141"/>
      <c r="AQ35" s="141"/>
      <c r="AR35" s="141"/>
      <c r="AS35" s="140">
        <v>350.01</v>
      </c>
      <c r="AT35" s="141"/>
      <c r="AU35" s="141"/>
      <c r="AV35" s="141"/>
      <c r="AW35" s="141"/>
      <c r="AX35" s="141"/>
      <c r="AY35" s="141"/>
      <c r="AZ35" s="141"/>
      <c r="BA35" s="140">
        <f>IR35*AN35+IS35*AN35</f>
        <v>1911.0545999999999</v>
      </c>
      <c r="BB35" s="141"/>
      <c r="BC35" s="141"/>
      <c r="BD35" s="141"/>
      <c r="BE35" s="141"/>
      <c r="BF35" s="141"/>
      <c r="BG35" s="141"/>
      <c r="BH35" s="141"/>
      <c r="BI35" s="142" t="s">
        <v>653</v>
      </c>
      <c r="BJ35" s="143"/>
      <c r="BK35" s="143"/>
      <c r="BL35" s="143"/>
      <c r="BM35" s="143"/>
      <c r="BN35" s="143"/>
      <c r="IR35" s="9">
        <f>AS35*0</f>
        <v>0</v>
      </c>
      <c r="IS35" s="9">
        <f>AS35*(1-0)</f>
        <v>350.01</v>
      </c>
    </row>
    <row r="36" spans="1:253">
      <c r="A36" s="142" t="s">
        <v>27</v>
      </c>
      <c r="B36" s="143"/>
      <c r="C36" s="142" t="s">
        <v>244</v>
      </c>
      <c r="D36" s="143"/>
      <c r="E36" s="143"/>
      <c r="F36" s="143"/>
      <c r="G36" s="143"/>
      <c r="H36" s="143"/>
      <c r="I36" s="142" t="s">
        <v>435</v>
      </c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2" t="s">
        <v>638</v>
      </c>
      <c r="AM36" s="143"/>
      <c r="AN36" s="140">
        <v>5.46</v>
      </c>
      <c r="AO36" s="141"/>
      <c r="AP36" s="141"/>
      <c r="AQ36" s="141"/>
      <c r="AR36" s="141"/>
      <c r="AS36" s="140">
        <v>23.1</v>
      </c>
      <c r="AT36" s="141"/>
      <c r="AU36" s="141"/>
      <c r="AV36" s="141"/>
      <c r="AW36" s="141"/>
      <c r="AX36" s="141"/>
      <c r="AY36" s="141"/>
      <c r="AZ36" s="141"/>
      <c r="BA36" s="140">
        <f>IR36*AN36+IS36*AN36</f>
        <v>126.126</v>
      </c>
      <c r="BB36" s="141"/>
      <c r="BC36" s="141"/>
      <c r="BD36" s="141"/>
      <c r="BE36" s="141"/>
      <c r="BF36" s="141"/>
      <c r="BG36" s="141"/>
      <c r="BH36" s="141"/>
      <c r="BI36" s="142" t="s">
        <v>653</v>
      </c>
      <c r="BJ36" s="143"/>
      <c r="BK36" s="143"/>
      <c r="BL36" s="143"/>
      <c r="BM36" s="143"/>
      <c r="BN36" s="143"/>
      <c r="IR36" s="9">
        <f>AS36*0</f>
        <v>0</v>
      </c>
      <c r="IS36" s="9">
        <f>AS36*(1-0)</f>
        <v>23.1</v>
      </c>
    </row>
    <row r="37" spans="1:253">
      <c r="A37" s="148" t="s">
        <v>6</v>
      </c>
      <c r="B37" s="149"/>
      <c r="C37" s="148" t="s">
        <v>22</v>
      </c>
      <c r="D37" s="149"/>
      <c r="E37" s="149"/>
      <c r="F37" s="149"/>
      <c r="G37" s="149"/>
      <c r="H37" s="149"/>
      <c r="I37" s="148" t="s">
        <v>436</v>
      </c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149"/>
      <c r="AJ37" s="149"/>
      <c r="AK37" s="149"/>
      <c r="AL37" s="148" t="s">
        <v>6</v>
      </c>
      <c r="AM37" s="149"/>
      <c r="AN37" s="144" t="s">
        <v>6</v>
      </c>
      <c r="AO37" s="145"/>
      <c r="AP37" s="145"/>
      <c r="AQ37" s="145"/>
      <c r="AR37" s="145"/>
      <c r="AS37" s="144" t="s">
        <v>6</v>
      </c>
      <c r="AT37" s="145"/>
      <c r="AU37" s="145"/>
      <c r="AV37" s="145"/>
      <c r="AW37" s="145"/>
      <c r="AX37" s="145"/>
      <c r="AY37" s="145"/>
      <c r="AZ37" s="145"/>
      <c r="BA37" s="152">
        <f>SUM(BA38:BA43)</f>
        <v>42557.447820000001</v>
      </c>
      <c r="BB37" s="145"/>
      <c r="BC37" s="145"/>
      <c r="BD37" s="145"/>
      <c r="BE37" s="145"/>
      <c r="BF37" s="145"/>
      <c r="BG37" s="145"/>
      <c r="BH37" s="145"/>
      <c r="BI37" s="148" t="s">
        <v>6</v>
      </c>
      <c r="BJ37" s="149"/>
      <c r="BK37" s="149"/>
      <c r="BL37" s="149"/>
      <c r="BM37" s="149"/>
      <c r="BN37" s="149"/>
    </row>
    <row r="38" spans="1:253">
      <c r="A38" s="142" t="s">
        <v>28</v>
      </c>
      <c r="B38" s="143"/>
      <c r="C38" s="142" t="s">
        <v>245</v>
      </c>
      <c r="D38" s="143"/>
      <c r="E38" s="143"/>
      <c r="F38" s="143"/>
      <c r="G38" s="143"/>
      <c r="H38" s="143"/>
      <c r="I38" s="142" t="s">
        <v>437</v>
      </c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2" t="s">
        <v>638</v>
      </c>
      <c r="AM38" s="143"/>
      <c r="AN38" s="140">
        <v>160.58000000000001</v>
      </c>
      <c r="AO38" s="141"/>
      <c r="AP38" s="141"/>
      <c r="AQ38" s="141"/>
      <c r="AR38" s="141"/>
      <c r="AS38" s="140">
        <v>44.4</v>
      </c>
      <c r="AT38" s="141"/>
      <c r="AU38" s="141"/>
      <c r="AV38" s="141"/>
      <c r="AW38" s="141"/>
      <c r="AX38" s="141"/>
      <c r="AY38" s="141"/>
      <c r="AZ38" s="141"/>
      <c r="BA38" s="140">
        <f t="shared" ref="BA38:BA43" si="6">IR38*AN38+IS38*AN38</f>
        <v>7129.7520000000004</v>
      </c>
      <c r="BB38" s="141"/>
      <c r="BC38" s="141"/>
      <c r="BD38" s="141"/>
      <c r="BE38" s="141"/>
      <c r="BF38" s="141"/>
      <c r="BG38" s="141"/>
      <c r="BH38" s="141"/>
      <c r="BI38" s="142" t="s">
        <v>653</v>
      </c>
      <c r="BJ38" s="143"/>
      <c r="BK38" s="143"/>
      <c r="BL38" s="143"/>
      <c r="BM38" s="143"/>
      <c r="BN38" s="143"/>
      <c r="IR38" s="9">
        <f t="shared" ref="IR38:IR43" si="7">AS38*0</f>
        <v>0</v>
      </c>
      <c r="IS38" s="9">
        <f t="shared" ref="IS38:IS43" si="8">AS38*(1-0)</f>
        <v>44.4</v>
      </c>
    </row>
    <row r="39" spans="1:253">
      <c r="A39" s="142" t="s">
        <v>29</v>
      </c>
      <c r="B39" s="143"/>
      <c r="C39" s="142" t="s">
        <v>246</v>
      </c>
      <c r="D39" s="143"/>
      <c r="E39" s="143"/>
      <c r="F39" s="143"/>
      <c r="G39" s="143"/>
      <c r="H39" s="143"/>
      <c r="I39" s="142" t="s">
        <v>438</v>
      </c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2" t="s">
        <v>638</v>
      </c>
      <c r="AM39" s="143"/>
      <c r="AN39" s="140">
        <v>80.290000000000006</v>
      </c>
      <c r="AO39" s="141"/>
      <c r="AP39" s="141"/>
      <c r="AQ39" s="141"/>
      <c r="AR39" s="141"/>
      <c r="AS39" s="140">
        <v>256</v>
      </c>
      <c r="AT39" s="141"/>
      <c r="AU39" s="141"/>
      <c r="AV39" s="141"/>
      <c r="AW39" s="141"/>
      <c r="AX39" s="141"/>
      <c r="AY39" s="141"/>
      <c r="AZ39" s="141"/>
      <c r="BA39" s="140">
        <f t="shared" si="6"/>
        <v>20554.240000000002</v>
      </c>
      <c r="BB39" s="141"/>
      <c r="BC39" s="141"/>
      <c r="BD39" s="141"/>
      <c r="BE39" s="141"/>
      <c r="BF39" s="141"/>
      <c r="BG39" s="141"/>
      <c r="BH39" s="141"/>
      <c r="BI39" s="142" t="s">
        <v>653</v>
      </c>
      <c r="BJ39" s="143"/>
      <c r="BK39" s="143"/>
      <c r="BL39" s="143"/>
      <c r="BM39" s="143"/>
      <c r="BN39" s="143"/>
      <c r="IR39" s="9">
        <f t="shared" si="7"/>
        <v>0</v>
      </c>
      <c r="IS39" s="9">
        <f t="shared" si="8"/>
        <v>256</v>
      </c>
    </row>
    <row r="40" spans="1:253">
      <c r="A40" s="142" t="s">
        <v>30</v>
      </c>
      <c r="B40" s="143"/>
      <c r="C40" s="142" t="s">
        <v>247</v>
      </c>
      <c r="D40" s="143"/>
      <c r="E40" s="143"/>
      <c r="F40" s="143"/>
      <c r="G40" s="143"/>
      <c r="H40" s="143"/>
      <c r="I40" s="142" t="s">
        <v>439</v>
      </c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2" t="s">
        <v>637</v>
      </c>
      <c r="AM40" s="143"/>
      <c r="AN40" s="140">
        <v>9</v>
      </c>
      <c r="AO40" s="141"/>
      <c r="AP40" s="141"/>
      <c r="AQ40" s="141"/>
      <c r="AR40" s="141"/>
      <c r="AS40" s="140">
        <v>407.99</v>
      </c>
      <c r="AT40" s="141"/>
      <c r="AU40" s="141"/>
      <c r="AV40" s="141"/>
      <c r="AW40" s="141"/>
      <c r="AX40" s="141"/>
      <c r="AY40" s="141"/>
      <c r="AZ40" s="141"/>
      <c r="BA40" s="140">
        <f t="shared" si="6"/>
        <v>3671.91</v>
      </c>
      <c r="BB40" s="141"/>
      <c r="BC40" s="141"/>
      <c r="BD40" s="141"/>
      <c r="BE40" s="141"/>
      <c r="BF40" s="141"/>
      <c r="BG40" s="141"/>
      <c r="BH40" s="141"/>
      <c r="BI40" s="142" t="s">
        <v>653</v>
      </c>
      <c r="BJ40" s="143"/>
      <c r="BK40" s="143"/>
      <c r="BL40" s="143"/>
      <c r="BM40" s="143"/>
      <c r="BN40" s="143"/>
      <c r="IR40" s="9">
        <f t="shared" si="7"/>
        <v>0</v>
      </c>
      <c r="IS40" s="9">
        <f t="shared" si="8"/>
        <v>407.99</v>
      </c>
    </row>
    <row r="41" spans="1:253">
      <c r="A41" s="142" t="s">
        <v>31</v>
      </c>
      <c r="B41" s="143"/>
      <c r="C41" s="142" t="s">
        <v>248</v>
      </c>
      <c r="D41" s="143"/>
      <c r="E41" s="143"/>
      <c r="F41" s="143"/>
      <c r="G41" s="143"/>
      <c r="H41" s="143"/>
      <c r="I41" s="142" t="s">
        <v>440</v>
      </c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2" t="s">
        <v>637</v>
      </c>
      <c r="AM41" s="143"/>
      <c r="AN41" s="140">
        <v>9</v>
      </c>
      <c r="AO41" s="141"/>
      <c r="AP41" s="141"/>
      <c r="AQ41" s="141"/>
      <c r="AR41" s="141"/>
      <c r="AS41" s="140">
        <v>178</v>
      </c>
      <c r="AT41" s="141"/>
      <c r="AU41" s="141"/>
      <c r="AV41" s="141"/>
      <c r="AW41" s="141"/>
      <c r="AX41" s="141"/>
      <c r="AY41" s="141"/>
      <c r="AZ41" s="141"/>
      <c r="BA41" s="140">
        <f t="shared" si="6"/>
        <v>1602</v>
      </c>
      <c r="BB41" s="141"/>
      <c r="BC41" s="141"/>
      <c r="BD41" s="141"/>
      <c r="BE41" s="141"/>
      <c r="BF41" s="141"/>
      <c r="BG41" s="141"/>
      <c r="BH41" s="141"/>
      <c r="BI41" s="142" t="s">
        <v>653</v>
      </c>
      <c r="BJ41" s="143"/>
      <c r="BK41" s="143"/>
      <c r="BL41" s="143"/>
      <c r="BM41" s="143"/>
      <c r="BN41" s="143"/>
      <c r="IR41" s="9">
        <f t="shared" si="7"/>
        <v>0</v>
      </c>
      <c r="IS41" s="9">
        <f t="shared" si="8"/>
        <v>178</v>
      </c>
    </row>
    <row r="42" spans="1:253">
      <c r="A42" s="142" t="s">
        <v>32</v>
      </c>
      <c r="B42" s="143"/>
      <c r="C42" s="142" t="s">
        <v>249</v>
      </c>
      <c r="D42" s="143"/>
      <c r="E42" s="143"/>
      <c r="F42" s="143"/>
      <c r="G42" s="143"/>
      <c r="H42" s="143"/>
      <c r="I42" s="142" t="s">
        <v>441</v>
      </c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2" t="s">
        <v>637</v>
      </c>
      <c r="AM42" s="143"/>
      <c r="AN42" s="140">
        <v>9</v>
      </c>
      <c r="AO42" s="141"/>
      <c r="AP42" s="141"/>
      <c r="AQ42" s="141"/>
      <c r="AR42" s="141"/>
      <c r="AS42" s="140">
        <v>1039.01</v>
      </c>
      <c r="AT42" s="141"/>
      <c r="AU42" s="141"/>
      <c r="AV42" s="141"/>
      <c r="AW42" s="141"/>
      <c r="AX42" s="141"/>
      <c r="AY42" s="141"/>
      <c r="AZ42" s="141"/>
      <c r="BA42" s="140">
        <f t="shared" si="6"/>
        <v>9351.09</v>
      </c>
      <c r="BB42" s="141"/>
      <c r="BC42" s="141"/>
      <c r="BD42" s="141"/>
      <c r="BE42" s="141"/>
      <c r="BF42" s="141"/>
      <c r="BG42" s="141"/>
      <c r="BH42" s="141"/>
      <c r="BI42" s="142" t="s">
        <v>653</v>
      </c>
      <c r="BJ42" s="143"/>
      <c r="BK42" s="143"/>
      <c r="BL42" s="143"/>
      <c r="BM42" s="143"/>
      <c r="BN42" s="143"/>
      <c r="IR42" s="9">
        <f t="shared" si="7"/>
        <v>0</v>
      </c>
      <c r="IS42" s="9">
        <f t="shared" si="8"/>
        <v>1039.01</v>
      </c>
    </row>
    <row r="43" spans="1:253">
      <c r="A43" s="142" t="s">
        <v>33</v>
      </c>
      <c r="B43" s="143"/>
      <c r="C43" s="142" t="s">
        <v>250</v>
      </c>
      <c r="D43" s="143"/>
      <c r="E43" s="143"/>
      <c r="F43" s="143"/>
      <c r="G43" s="143"/>
      <c r="H43" s="143"/>
      <c r="I43" s="142" t="s">
        <v>442</v>
      </c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2" t="s">
        <v>639</v>
      </c>
      <c r="AM43" s="143"/>
      <c r="AN43" s="140">
        <v>0.98199999999999998</v>
      </c>
      <c r="AO43" s="141"/>
      <c r="AP43" s="141"/>
      <c r="AQ43" s="141"/>
      <c r="AR43" s="141"/>
      <c r="AS43" s="140">
        <v>253.01</v>
      </c>
      <c r="AT43" s="141"/>
      <c r="AU43" s="141"/>
      <c r="AV43" s="141"/>
      <c r="AW43" s="141"/>
      <c r="AX43" s="141"/>
      <c r="AY43" s="141"/>
      <c r="AZ43" s="141"/>
      <c r="BA43" s="140">
        <f t="shared" si="6"/>
        <v>248.45581999999999</v>
      </c>
      <c r="BB43" s="141"/>
      <c r="BC43" s="141"/>
      <c r="BD43" s="141"/>
      <c r="BE43" s="141"/>
      <c r="BF43" s="141"/>
      <c r="BG43" s="141"/>
      <c r="BH43" s="141"/>
      <c r="BI43" s="142" t="s">
        <v>653</v>
      </c>
      <c r="BJ43" s="143"/>
      <c r="BK43" s="143"/>
      <c r="BL43" s="143"/>
      <c r="BM43" s="143"/>
      <c r="BN43" s="143"/>
      <c r="IR43" s="9">
        <f t="shared" si="7"/>
        <v>0</v>
      </c>
      <c r="IS43" s="9">
        <f t="shared" si="8"/>
        <v>253.01</v>
      </c>
    </row>
    <row r="44" spans="1:253">
      <c r="A44" s="148" t="s">
        <v>6</v>
      </c>
      <c r="B44" s="149"/>
      <c r="C44" s="148" t="s">
        <v>23</v>
      </c>
      <c r="D44" s="149"/>
      <c r="E44" s="149"/>
      <c r="F44" s="149"/>
      <c r="G44" s="149"/>
      <c r="H44" s="149"/>
      <c r="I44" s="148" t="s">
        <v>443</v>
      </c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8" t="s">
        <v>6</v>
      </c>
      <c r="AM44" s="149"/>
      <c r="AN44" s="144" t="s">
        <v>6</v>
      </c>
      <c r="AO44" s="145"/>
      <c r="AP44" s="145"/>
      <c r="AQ44" s="145"/>
      <c r="AR44" s="145"/>
      <c r="AS44" s="144" t="s">
        <v>6</v>
      </c>
      <c r="AT44" s="145"/>
      <c r="AU44" s="145"/>
      <c r="AV44" s="145"/>
      <c r="AW44" s="145"/>
      <c r="AX44" s="145"/>
      <c r="AY44" s="145"/>
      <c r="AZ44" s="145"/>
      <c r="BA44" s="152">
        <f>SUM(BA45:BA48)</f>
        <v>173145.70240000001</v>
      </c>
      <c r="BB44" s="145"/>
      <c r="BC44" s="145"/>
      <c r="BD44" s="145"/>
      <c r="BE44" s="145"/>
      <c r="BF44" s="145"/>
      <c r="BG44" s="145"/>
      <c r="BH44" s="145"/>
      <c r="BI44" s="148" t="s">
        <v>6</v>
      </c>
      <c r="BJ44" s="149"/>
      <c r="BK44" s="149"/>
      <c r="BL44" s="149"/>
      <c r="BM44" s="149"/>
      <c r="BN44" s="149"/>
    </row>
    <row r="45" spans="1:253">
      <c r="A45" s="142" t="s">
        <v>34</v>
      </c>
      <c r="B45" s="143"/>
      <c r="C45" s="142" t="s">
        <v>251</v>
      </c>
      <c r="D45" s="143"/>
      <c r="E45" s="143"/>
      <c r="F45" s="143"/>
      <c r="G45" s="143"/>
      <c r="H45" s="143"/>
      <c r="I45" s="142" t="s">
        <v>444</v>
      </c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2" t="s">
        <v>637</v>
      </c>
      <c r="AM45" s="143"/>
      <c r="AN45" s="140">
        <v>9</v>
      </c>
      <c r="AO45" s="141"/>
      <c r="AP45" s="141"/>
      <c r="AQ45" s="141"/>
      <c r="AR45" s="141"/>
      <c r="AS45" s="140">
        <v>265.5</v>
      </c>
      <c r="AT45" s="141"/>
      <c r="AU45" s="141"/>
      <c r="AV45" s="141"/>
      <c r="AW45" s="141"/>
      <c r="AX45" s="141"/>
      <c r="AY45" s="141"/>
      <c r="AZ45" s="141"/>
      <c r="BA45" s="140">
        <f>IR45*AN45+IS45*AN45</f>
        <v>2389.5</v>
      </c>
      <c r="BB45" s="141"/>
      <c r="BC45" s="141"/>
      <c r="BD45" s="141"/>
      <c r="BE45" s="141"/>
      <c r="BF45" s="141"/>
      <c r="BG45" s="141"/>
      <c r="BH45" s="141"/>
      <c r="BI45" s="142" t="s">
        <v>653</v>
      </c>
      <c r="BJ45" s="143"/>
      <c r="BK45" s="143"/>
      <c r="BL45" s="143"/>
      <c r="BM45" s="143"/>
      <c r="BN45" s="143"/>
      <c r="IR45" s="9">
        <f>AS45*0</f>
        <v>0</v>
      </c>
      <c r="IS45" s="9">
        <f>AS45*(1-0)</f>
        <v>265.5</v>
      </c>
    </row>
    <row r="46" spans="1:253">
      <c r="A46" s="142" t="s">
        <v>35</v>
      </c>
      <c r="B46" s="143"/>
      <c r="C46" s="142" t="s">
        <v>252</v>
      </c>
      <c r="D46" s="143"/>
      <c r="E46" s="143"/>
      <c r="F46" s="143"/>
      <c r="G46" s="143"/>
      <c r="H46" s="143"/>
      <c r="I46" s="142" t="s">
        <v>445</v>
      </c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2" t="s">
        <v>638</v>
      </c>
      <c r="AM46" s="143"/>
      <c r="AN46" s="140">
        <v>201.2</v>
      </c>
      <c r="AO46" s="141"/>
      <c r="AP46" s="141"/>
      <c r="AQ46" s="141"/>
      <c r="AR46" s="141"/>
      <c r="AS46" s="140">
        <v>469.51</v>
      </c>
      <c r="AT46" s="141"/>
      <c r="AU46" s="141"/>
      <c r="AV46" s="141"/>
      <c r="AW46" s="141"/>
      <c r="AX46" s="141"/>
      <c r="AY46" s="141"/>
      <c r="AZ46" s="141"/>
      <c r="BA46" s="140">
        <f>IR46*AN46+IS46*AN46</f>
        <v>94465.411999999997</v>
      </c>
      <c r="BB46" s="141"/>
      <c r="BC46" s="141"/>
      <c r="BD46" s="141"/>
      <c r="BE46" s="141"/>
      <c r="BF46" s="141"/>
      <c r="BG46" s="141"/>
      <c r="BH46" s="141"/>
      <c r="BI46" s="142" t="s">
        <v>653</v>
      </c>
      <c r="BJ46" s="143"/>
      <c r="BK46" s="143"/>
      <c r="BL46" s="143"/>
      <c r="BM46" s="143"/>
      <c r="BN46" s="143"/>
      <c r="IR46" s="9">
        <f>AS46*0</f>
        <v>0</v>
      </c>
      <c r="IS46" s="9">
        <f>AS46*(1-0)</f>
        <v>469.51</v>
      </c>
    </row>
    <row r="47" spans="1:253">
      <c r="A47" s="155" t="s">
        <v>36</v>
      </c>
      <c r="B47" s="156"/>
      <c r="C47" s="155" t="s">
        <v>253</v>
      </c>
      <c r="D47" s="156"/>
      <c r="E47" s="156"/>
      <c r="F47" s="156"/>
      <c r="G47" s="156"/>
      <c r="H47" s="156"/>
      <c r="I47" s="155" t="s">
        <v>446</v>
      </c>
      <c r="J47" s="156"/>
      <c r="K47" s="156"/>
      <c r="L47" s="156"/>
      <c r="M47" s="156"/>
      <c r="N47" s="156"/>
      <c r="O47" s="156"/>
      <c r="P47" s="156"/>
      <c r="Q47" s="156"/>
      <c r="R47" s="156"/>
      <c r="S47" s="156"/>
      <c r="T47" s="156"/>
      <c r="U47" s="156"/>
      <c r="V47" s="156"/>
      <c r="W47" s="156"/>
      <c r="X47" s="156"/>
      <c r="Y47" s="156"/>
      <c r="Z47" s="156"/>
      <c r="AA47" s="156"/>
      <c r="AB47" s="156"/>
      <c r="AC47" s="156"/>
      <c r="AD47" s="156"/>
      <c r="AE47" s="156"/>
      <c r="AF47" s="156"/>
      <c r="AG47" s="156"/>
      <c r="AH47" s="156"/>
      <c r="AI47" s="156"/>
      <c r="AJ47" s="156"/>
      <c r="AK47" s="156"/>
      <c r="AL47" s="155" t="s">
        <v>639</v>
      </c>
      <c r="AM47" s="156"/>
      <c r="AN47" s="153">
        <v>5.12</v>
      </c>
      <c r="AO47" s="154"/>
      <c r="AP47" s="154"/>
      <c r="AQ47" s="154"/>
      <c r="AR47" s="154"/>
      <c r="AS47" s="153">
        <v>550.41999999999996</v>
      </c>
      <c r="AT47" s="154"/>
      <c r="AU47" s="154"/>
      <c r="AV47" s="154"/>
      <c r="AW47" s="154"/>
      <c r="AX47" s="154"/>
      <c r="AY47" s="154"/>
      <c r="AZ47" s="154"/>
      <c r="BA47" s="153">
        <f>IR47*AN47+IS47*AN47</f>
        <v>2818.1504</v>
      </c>
      <c r="BB47" s="154"/>
      <c r="BC47" s="154"/>
      <c r="BD47" s="154"/>
      <c r="BE47" s="154"/>
      <c r="BF47" s="154"/>
      <c r="BG47" s="154"/>
      <c r="BH47" s="154"/>
      <c r="BI47" s="155" t="s">
        <v>653</v>
      </c>
      <c r="BJ47" s="156"/>
      <c r="BK47" s="156"/>
      <c r="BL47" s="156"/>
      <c r="BM47" s="156"/>
      <c r="BN47" s="156"/>
      <c r="IR47" s="10">
        <f>AS47*1</f>
        <v>550.41999999999996</v>
      </c>
      <c r="IS47" s="10">
        <f>AS47*(1-1)</f>
        <v>0</v>
      </c>
    </row>
    <row r="48" spans="1:253">
      <c r="A48" s="155" t="s">
        <v>37</v>
      </c>
      <c r="B48" s="156"/>
      <c r="C48" s="155" t="s">
        <v>254</v>
      </c>
      <c r="D48" s="156"/>
      <c r="E48" s="156"/>
      <c r="F48" s="156"/>
      <c r="G48" s="156"/>
      <c r="H48" s="156"/>
      <c r="I48" s="155" t="s">
        <v>447</v>
      </c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156"/>
      <c r="W48" s="156"/>
      <c r="X48" s="156"/>
      <c r="Y48" s="156"/>
      <c r="Z48" s="156"/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5" t="s">
        <v>639</v>
      </c>
      <c r="AM48" s="156"/>
      <c r="AN48" s="153">
        <v>216.096</v>
      </c>
      <c r="AO48" s="154"/>
      <c r="AP48" s="154"/>
      <c r="AQ48" s="154"/>
      <c r="AR48" s="154"/>
      <c r="AS48" s="153">
        <v>340</v>
      </c>
      <c r="AT48" s="154"/>
      <c r="AU48" s="154"/>
      <c r="AV48" s="154"/>
      <c r="AW48" s="154"/>
      <c r="AX48" s="154"/>
      <c r="AY48" s="154"/>
      <c r="AZ48" s="154"/>
      <c r="BA48" s="153">
        <f>IR48*AN48+IS48*AN48</f>
        <v>73472.639999999999</v>
      </c>
      <c r="BB48" s="154"/>
      <c r="BC48" s="154"/>
      <c r="BD48" s="154"/>
      <c r="BE48" s="154"/>
      <c r="BF48" s="154"/>
      <c r="BG48" s="154"/>
      <c r="BH48" s="154"/>
      <c r="BI48" s="155" t="s">
        <v>653</v>
      </c>
      <c r="BJ48" s="156"/>
      <c r="BK48" s="156"/>
      <c r="BL48" s="156"/>
      <c r="BM48" s="156"/>
      <c r="BN48" s="156"/>
      <c r="IR48" s="10">
        <f>AS48*1</f>
        <v>340</v>
      </c>
      <c r="IS48" s="10">
        <f>AS48*(1-1)</f>
        <v>0</v>
      </c>
    </row>
    <row r="49" spans="1:253">
      <c r="A49" s="148" t="s">
        <v>6</v>
      </c>
      <c r="B49" s="149"/>
      <c r="C49" s="148" t="s">
        <v>255</v>
      </c>
      <c r="D49" s="149"/>
      <c r="E49" s="149"/>
      <c r="F49" s="149"/>
      <c r="G49" s="149"/>
      <c r="H49" s="149"/>
      <c r="I49" s="148" t="s">
        <v>448</v>
      </c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149"/>
      <c r="AJ49" s="149"/>
      <c r="AK49" s="149"/>
      <c r="AL49" s="148" t="s">
        <v>6</v>
      </c>
      <c r="AM49" s="149"/>
      <c r="AN49" s="144" t="s">
        <v>6</v>
      </c>
      <c r="AO49" s="145"/>
      <c r="AP49" s="145"/>
      <c r="AQ49" s="145"/>
      <c r="AR49" s="145"/>
      <c r="AS49" s="144" t="s">
        <v>6</v>
      </c>
      <c r="AT49" s="145"/>
      <c r="AU49" s="145"/>
      <c r="AV49" s="145"/>
      <c r="AW49" s="145"/>
      <c r="AX49" s="145"/>
      <c r="AY49" s="145"/>
      <c r="AZ49" s="145"/>
      <c r="BA49" s="152">
        <f>SUM(BA50:BA50)</f>
        <v>11711.055</v>
      </c>
      <c r="BB49" s="145"/>
      <c r="BC49" s="145"/>
      <c r="BD49" s="145"/>
      <c r="BE49" s="145"/>
      <c r="BF49" s="145"/>
      <c r="BG49" s="145"/>
      <c r="BH49" s="145"/>
      <c r="BI49" s="148" t="s">
        <v>6</v>
      </c>
      <c r="BJ49" s="149"/>
      <c r="BK49" s="149"/>
      <c r="BL49" s="149"/>
      <c r="BM49" s="149"/>
      <c r="BN49" s="149"/>
    </row>
    <row r="50" spans="1:253">
      <c r="A50" s="142" t="s">
        <v>38</v>
      </c>
      <c r="B50" s="143"/>
      <c r="C50" s="142" t="s">
        <v>256</v>
      </c>
      <c r="D50" s="143"/>
      <c r="E50" s="143"/>
      <c r="F50" s="143"/>
      <c r="G50" s="143"/>
      <c r="H50" s="143"/>
      <c r="I50" s="142" t="s">
        <v>449</v>
      </c>
      <c r="J50" s="143"/>
      <c r="K50" s="143"/>
      <c r="L50" s="143"/>
      <c r="M50" s="143"/>
      <c r="N50" s="143"/>
      <c r="O50" s="143"/>
      <c r="P50" s="143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2" t="s">
        <v>636</v>
      </c>
      <c r="AM50" s="143"/>
      <c r="AN50" s="140">
        <v>55.5</v>
      </c>
      <c r="AO50" s="141"/>
      <c r="AP50" s="141"/>
      <c r="AQ50" s="141"/>
      <c r="AR50" s="141"/>
      <c r="AS50" s="140">
        <v>211.01</v>
      </c>
      <c r="AT50" s="141"/>
      <c r="AU50" s="141"/>
      <c r="AV50" s="141"/>
      <c r="AW50" s="141"/>
      <c r="AX50" s="141"/>
      <c r="AY50" s="141"/>
      <c r="AZ50" s="141"/>
      <c r="BA50" s="140">
        <f>IR50*AN50+IS50*AN50</f>
        <v>11711.055</v>
      </c>
      <c r="BB50" s="141"/>
      <c r="BC50" s="141"/>
      <c r="BD50" s="141"/>
      <c r="BE50" s="141"/>
      <c r="BF50" s="141"/>
      <c r="BG50" s="141"/>
      <c r="BH50" s="141"/>
      <c r="BI50" s="142" t="s">
        <v>653</v>
      </c>
      <c r="BJ50" s="143"/>
      <c r="BK50" s="143"/>
      <c r="BL50" s="143"/>
      <c r="BM50" s="143"/>
      <c r="BN50" s="143"/>
      <c r="IR50" s="9">
        <f>AS50*0</f>
        <v>0</v>
      </c>
      <c r="IS50" s="9">
        <f>AS50*(1-0)</f>
        <v>211.01</v>
      </c>
    </row>
    <row r="51" spans="1:253">
      <c r="A51" s="148" t="s">
        <v>6</v>
      </c>
      <c r="B51" s="149"/>
      <c r="C51" s="148" t="s">
        <v>24</v>
      </c>
      <c r="D51" s="149"/>
      <c r="E51" s="149"/>
      <c r="F51" s="149"/>
      <c r="G51" s="149"/>
      <c r="H51" s="149"/>
      <c r="I51" s="148" t="s">
        <v>450</v>
      </c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9"/>
      <c r="AJ51" s="149"/>
      <c r="AK51" s="149"/>
      <c r="AL51" s="148" t="s">
        <v>6</v>
      </c>
      <c r="AM51" s="149"/>
      <c r="AN51" s="144" t="s">
        <v>6</v>
      </c>
      <c r="AO51" s="145"/>
      <c r="AP51" s="145"/>
      <c r="AQ51" s="145"/>
      <c r="AR51" s="145"/>
      <c r="AS51" s="144" t="s">
        <v>6</v>
      </c>
      <c r="AT51" s="145"/>
      <c r="AU51" s="145"/>
      <c r="AV51" s="145"/>
      <c r="AW51" s="145"/>
      <c r="AX51" s="145"/>
      <c r="AY51" s="145"/>
      <c r="AZ51" s="145"/>
      <c r="BA51" s="152">
        <f>SUM(BA52:BA115)</f>
        <v>616639.13860000006</v>
      </c>
      <c r="BB51" s="145"/>
      <c r="BC51" s="145"/>
      <c r="BD51" s="145"/>
      <c r="BE51" s="145"/>
      <c r="BF51" s="145"/>
      <c r="BG51" s="145"/>
      <c r="BH51" s="145"/>
      <c r="BI51" s="148" t="s">
        <v>6</v>
      </c>
      <c r="BJ51" s="149"/>
      <c r="BK51" s="149"/>
      <c r="BL51" s="149"/>
      <c r="BM51" s="149"/>
      <c r="BN51" s="149"/>
    </row>
    <row r="52" spans="1:253">
      <c r="A52" s="142" t="s">
        <v>39</v>
      </c>
      <c r="B52" s="143"/>
      <c r="C52" s="142" t="s">
        <v>257</v>
      </c>
      <c r="D52" s="143"/>
      <c r="E52" s="143"/>
      <c r="F52" s="143"/>
      <c r="G52" s="143"/>
      <c r="H52" s="143"/>
      <c r="I52" s="142" t="s">
        <v>451</v>
      </c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2" t="s">
        <v>636</v>
      </c>
      <c r="AM52" s="143"/>
      <c r="AN52" s="140">
        <v>2155</v>
      </c>
      <c r="AO52" s="141"/>
      <c r="AP52" s="141"/>
      <c r="AQ52" s="141"/>
      <c r="AR52" s="141"/>
      <c r="AS52" s="140">
        <v>23.2</v>
      </c>
      <c r="AT52" s="141"/>
      <c r="AU52" s="141"/>
      <c r="AV52" s="141"/>
      <c r="AW52" s="141"/>
      <c r="AX52" s="141"/>
      <c r="AY52" s="141"/>
      <c r="AZ52" s="141"/>
      <c r="BA52" s="140">
        <f t="shared" ref="BA52:BA60" si="9">IR52*AN52+IS52*AN52</f>
        <v>49995.999999999993</v>
      </c>
      <c r="BB52" s="141"/>
      <c r="BC52" s="141"/>
      <c r="BD52" s="141"/>
      <c r="BE52" s="141"/>
      <c r="BF52" s="141"/>
      <c r="BG52" s="141"/>
      <c r="BH52" s="141"/>
      <c r="BI52" s="142" t="s">
        <v>653</v>
      </c>
      <c r="BJ52" s="143"/>
      <c r="BK52" s="143"/>
      <c r="BL52" s="143"/>
      <c r="BM52" s="143"/>
      <c r="BN52" s="143"/>
      <c r="IR52" s="9">
        <f>AS52*0.0706896551724138</f>
        <v>1.64</v>
      </c>
      <c r="IS52" s="9">
        <f>AS52*(1-0.0706896551724138)</f>
        <v>21.56</v>
      </c>
    </row>
    <row r="53" spans="1:253">
      <c r="A53" s="142" t="s">
        <v>40</v>
      </c>
      <c r="B53" s="143"/>
      <c r="C53" s="142" t="s">
        <v>258</v>
      </c>
      <c r="D53" s="143"/>
      <c r="E53" s="143"/>
      <c r="F53" s="143"/>
      <c r="G53" s="143"/>
      <c r="H53" s="143"/>
      <c r="I53" s="142" t="s">
        <v>452</v>
      </c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2" t="s">
        <v>636</v>
      </c>
      <c r="AM53" s="143"/>
      <c r="AN53" s="140">
        <v>2914</v>
      </c>
      <c r="AO53" s="141"/>
      <c r="AP53" s="141"/>
      <c r="AQ53" s="141"/>
      <c r="AR53" s="141"/>
      <c r="AS53" s="140">
        <v>4.51</v>
      </c>
      <c r="AT53" s="141"/>
      <c r="AU53" s="141"/>
      <c r="AV53" s="141"/>
      <c r="AW53" s="141"/>
      <c r="AX53" s="141"/>
      <c r="AY53" s="141"/>
      <c r="AZ53" s="141"/>
      <c r="BA53" s="140">
        <f t="shared" si="9"/>
        <v>13142.14</v>
      </c>
      <c r="BB53" s="141"/>
      <c r="BC53" s="141"/>
      <c r="BD53" s="141"/>
      <c r="BE53" s="141"/>
      <c r="BF53" s="141"/>
      <c r="BG53" s="141"/>
      <c r="BH53" s="141"/>
      <c r="BI53" s="142" t="s">
        <v>653</v>
      </c>
      <c r="BJ53" s="143"/>
      <c r="BK53" s="143"/>
      <c r="BL53" s="143"/>
      <c r="BM53" s="143"/>
      <c r="BN53" s="143"/>
      <c r="IR53" s="9">
        <f>AS53*0.00665188470066519</f>
        <v>3.0000000000000006E-2</v>
      </c>
      <c r="IS53" s="9">
        <f>AS53*(1-0.00665188470066519)</f>
        <v>4.4799999999999995</v>
      </c>
    </row>
    <row r="54" spans="1:253">
      <c r="A54" s="142" t="s">
        <v>41</v>
      </c>
      <c r="B54" s="143"/>
      <c r="C54" s="142" t="s">
        <v>259</v>
      </c>
      <c r="D54" s="143"/>
      <c r="E54" s="143"/>
      <c r="F54" s="143"/>
      <c r="G54" s="143"/>
      <c r="H54" s="143"/>
      <c r="I54" s="142" t="s">
        <v>453</v>
      </c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2" t="s">
        <v>636</v>
      </c>
      <c r="AM54" s="143"/>
      <c r="AN54" s="140">
        <v>2914</v>
      </c>
      <c r="AO54" s="141"/>
      <c r="AP54" s="141"/>
      <c r="AQ54" s="141"/>
      <c r="AR54" s="141"/>
      <c r="AS54" s="140">
        <v>4.8499999999999996</v>
      </c>
      <c r="AT54" s="141"/>
      <c r="AU54" s="141"/>
      <c r="AV54" s="141"/>
      <c r="AW54" s="141"/>
      <c r="AX54" s="141"/>
      <c r="AY54" s="141"/>
      <c r="AZ54" s="141"/>
      <c r="BA54" s="140">
        <f t="shared" si="9"/>
        <v>14132.9</v>
      </c>
      <c r="BB54" s="141"/>
      <c r="BC54" s="141"/>
      <c r="BD54" s="141"/>
      <c r="BE54" s="141"/>
      <c r="BF54" s="141"/>
      <c r="BG54" s="141"/>
      <c r="BH54" s="141"/>
      <c r="BI54" s="142" t="s">
        <v>653</v>
      </c>
      <c r="BJ54" s="143"/>
      <c r="BK54" s="143"/>
      <c r="BL54" s="143"/>
      <c r="BM54" s="143"/>
      <c r="BN54" s="143"/>
      <c r="IR54" s="9">
        <f>AS54*0</f>
        <v>0</v>
      </c>
      <c r="IS54" s="9">
        <f>AS54*(1-0)</f>
        <v>4.8499999999999996</v>
      </c>
    </row>
    <row r="55" spans="1:253">
      <c r="A55" s="155" t="s">
        <v>42</v>
      </c>
      <c r="B55" s="156"/>
      <c r="C55" s="155" t="s">
        <v>260</v>
      </c>
      <c r="D55" s="156"/>
      <c r="E55" s="156"/>
      <c r="F55" s="156"/>
      <c r="G55" s="156"/>
      <c r="H55" s="156"/>
      <c r="I55" s="155" t="s">
        <v>454</v>
      </c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5" t="s">
        <v>640</v>
      </c>
      <c r="AM55" s="156"/>
      <c r="AN55" s="153">
        <v>64.650000000000006</v>
      </c>
      <c r="AO55" s="154"/>
      <c r="AP55" s="154"/>
      <c r="AQ55" s="154"/>
      <c r="AR55" s="154"/>
      <c r="AS55" s="153">
        <v>105</v>
      </c>
      <c r="AT55" s="154"/>
      <c r="AU55" s="154"/>
      <c r="AV55" s="154"/>
      <c r="AW55" s="154"/>
      <c r="AX55" s="154"/>
      <c r="AY55" s="154"/>
      <c r="AZ55" s="154"/>
      <c r="BA55" s="153">
        <f t="shared" si="9"/>
        <v>6788.2500000000009</v>
      </c>
      <c r="BB55" s="154"/>
      <c r="BC55" s="154"/>
      <c r="BD55" s="154"/>
      <c r="BE55" s="154"/>
      <c r="BF55" s="154"/>
      <c r="BG55" s="154"/>
      <c r="BH55" s="154"/>
      <c r="BI55" s="155" t="s">
        <v>653</v>
      </c>
      <c r="BJ55" s="156"/>
      <c r="BK55" s="156"/>
      <c r="BL55" s="156"/>
      <c r="BM55" s="156"/>
      <c r="BN55" s="156"/>
      <c r="IR55" s="10">
        <f>AS55*1</f>
        <v>105</v>
      </c>
      <c r="IS55" s="10">
        <f>AS55*(1-1)</f>
        <v>0</v>
      </c>
    </row>
    <row r="56" spans="1:253">
      <c r="A56" s="155" t="s">
        <v>43</v>
      </c>
      <c r="B56" s="156"/>
      <c r="C56" s="155" t="s">
        <v>261</v>
      </c>
      <c r="D56" s="156"/>
      <c r="E56" s="156"/>
      <c r="F56" s="156"/>
      <c r="G56" s="156"/>
      <c r="H56" s="156"/>
      <c r="I56" s="155" t="s">
        <v>455</v>
      </c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5" t="s">
        <v>641</v>
      </c>
      <c r="AM56" s="156"/>
      <c r="AN56" s="153">
        <v>29.14</v>
      </c>
      <c r="AO56" s="154"/>
      <c r="AP56" s="154"/>
      <c r="AQ56" s="154"/>
      <c r="AR56" s="154"/>
      <c r="AS56" s="153">
        <v>266.24</v>
      </c>
      <c r="AT56" s="154"/>
      <c r="AU56" s="154"/>
      <c r="AV56" s="154"/>
      <c r="AW56" s="154"/>
      <c r="AX56" s="154"/>
      <c r="AY56" s="154"/>
      <c r="AZ56" s="154"/>
      <c r="BA56" s="153">
        <f t="shared" si="9"/>
        <v>7758.2336000000005</v>
      </c>
      <c r="BB56" s="154"/>
      <c r="BC56" s="154"/>
      <c r="BD56" s="154"/>
      <c r="BE56" s="154"/>
      <c r="BF56" s="154"/>
      <c r="BG56" s="154"/>
      <c r="BH56" s="154"/>
      <c r="BI56" s="155" t="s">
        <v>653</v>
      </c>
      <c r="BJ56" s="156"/>
      <c r="BK56" s="156"/>
      <c r="BL56" s="156"/>
      <c r="BM56" s="156"/>
      <c r="BN56" s="156"/>
      <c r="IR56" s="10">
        <f>AS56*1</f>
        <v>266.24</v>
      </c>
      <c r="IS56" s="10">
        <f>AS56*(1-1)</f>
        <v>0</v>
      </c>
    </row>
    <row r="57" spans="1:253">
      <c r="A57" s="142" t="s">
        <v>44</v>
      </c>
      <c r="B57" s="143"/>
      <c r="C57" s="142" t="s">
        <v>262</v>
      </c>
      <c r="D57" s="143"/>
      <c r="E57" s="143"/>
      <c r="F57" s="143"/>
      <c r="G57" s="143"/>
      <c r="H57" s="143"/>
      <c r="I57" s="142" t="s">
        <v>456</v>
      </c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2" t="s">
        <v>636</v>
      </c>
      <c r="AM57" s="143"/>
      <c r="AN57" s="140">
        <v>430</v>
      </c>
      <c r="AO57" s="141"/>
      <c r="AP57" s="141"/>
      <c r="AQ57" s="141"/>
      <c r="AR57" s="141"/>
      <c r="AS57" s="140">
        <v>63.3</v>
      </c>
      <c r="AT57" s="141"/>
      <c r="AU57" s="141"/>
      <c r="AV57" s="141"/>
      <c r="AW57" s="141"/>
      <c r="AX57" s="141"/>
      <c r="AY57" s="141"/>
      <c r="AZ57" s="141"/>
      <c r="BA57" s="140">
        <f t="shared" si="9"/>
        <v>27219</v>
      </c>
      <c r="BB57" s="141"/>
      <c r="BC57" s="141"/>
      <c r="BD57" s="141"/>
      <c r="BE57" s="141"/>
      <c r="BF57" s="141"/>
      <c r="BG57" s="141"/>
      <c r="BH57" s="141"/>
      <c r="BI57" s="142" t="s">
        <v>653</v>
      </c>
      <c r="BJ57" s="143"/>
      <c r="BK57" s="143"/>
      <c r="BL57" s="143"/>
      <c r="BM57" s="143"/>
      <c r="BN57" s="143"/>
      <c r="IR57" s="9">
        <f>AS57*0</f>
        <v>0</v>
      </c>
      <c r="IS57" s="9">
        <f>AS57*(1-0)</f>
        <v>63.3</v>
      </c>
    </row>
    <row r="58" spans="1:253">
      <c r="A58" s="155" t="s">
        <v>45</v>
      </c>
      <c r="B58" s="156"/>
      <c r="C58" s="155" t="s">
        <v>263</v>
      </c>
      <c r="D58" s="156"/>
      <c r="E58" s="156"/>
      <c r="F58" s="156"/>
      <c r="G58" s="156"/>
      <c r="H58" s="156"/>
      <c r="I58" s="155" t="s">
        <v>457</v>
      </c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5" t="s">
        <v>638</v>
      </c>
      <c r="AM58" s="156"/>
      <c r="AN58" s="153">
        <v>24.75</v>
      </c>
      <c r="AO58" s="154"/>
      <c r="AP58" s="154"/>
      <c r="AQ58" s="154"/>
      <c r="AR58" s="154"/>
      <c r="AS58" s="153">
        <v>418</v>
      </c>
      <c r="AT58" s="154"/>
      <c r="AU58" s="154"/>
      <c r="AV58" s="154"/>
      <c r="AW58" s="154"/>
      <c r="AX58" s="154"/>
      <c r="AY58" s="154"/>
      <c r="AZ58" s="154"/>
      <c r="BA58" s="153">
        <f t="shared" si="9"/>
        <v>10345.5</v>
      </c>
      <c r="BB58" s="154"/>
      <c r="BC58" s="154"/>
      <c r="BD58" s="154"/>
      <c r="BE58" s="154"/>
      <c r="BF58" s="154"/>
      <c r="BG58" s="154"/>
      <c r="BH58" s="154"/>
      <c r="BI58" s="155" t="s">
        <v>653</v>
      </c>
      <c r="BJ58" s="156"/>
      <c r="BK58" s="156"/>
      <c r="BL58" s="156"/>
      <c r="BM58" s="156"/>
      <c r="BN58" s="156"/>
      <c r="IR58" s="10">
        <f>AS58*1</f>
        <v>418</v>
      </c>
      <c r="IS58" s="10">
        <f>AS58*(1-1)</f>
        <v>0</v>
      </c>
    </row>
    <row r="59" spans="1:253">
      <c r="A59" s="142" t="s">
        <v>46</v>
      </c>
      <c r="B59" s="143"/>
      <c r="C59" s="142" t="s">
        <v>264</v>
      </c>
      <c r="D59" s="143"/>
      <c r="E59" s="143"/>
      <c r="F59" s="143"/>
      <c r="G59" s="143"/>
      <c r="H59" s="143"/>
      <c r="I59" s="142" t="s">
        <v>458</v>
      </c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2" t="s">
        <v>636</v>
      </c>
      <c r="AM59" s="143"/>
      <c r="AN59" s="140">
        <v>2784</v>
      </c>
      <c r="AO59" s="141"/>
      <c r="AP59" s="141"/>
      <c r="AQ59" s="141"/>
      <c r="AR59" s="141"/>
      <c r="AS59" s="140">
        <v>28.7</v>
      </c>
      <c r="AT59" s="141"/>
      <c r="AU59" s="141"/>
      <c r="AV59" s="141"/>
      <c r="AW59" s="141"/>
      <c r="AX59" s="141"/>
      <c r="AY59" s="141"/>
      <c r="AZ59" s="141"/>
      <c r="BA59" s="140">
        <f t="shared" si="9"/>
        <v>79900.800000000003</v>
      </c>
      <c r="BB59" s="141"/>
      <c r="BC59" s="141"/>
      <c r="BD59" s="141"/>
      <c r="BE59" s="141"/>
      <c r="BF59" s="141"/>
      <c r="BG59" s="141"/>
      <c r="BH59" s="141"/>
      <c r="BI59" s="142" t="s">
        <v>653</v>
      </c>
      <c r="BJ59" s="143"/>
      <c r="BK59" s="143"/>
      <c r="BL59" s="143"/>
      <c r="BM59" s="143"/>
      <c r="BN59" s="143"/>
      <c r="IR59" s="9">
        <f>AS59*0</f>
        <v>0</v>
      </c>
      <c r="IS59" s="9">
        <f>AS59*(1-0)</f>
        <v>28.7</v>
      </c>
    </row>
    <row r="60" spans="1:253">
      <c r="A60" s="142" t="s">
        <v>47</v>
      </c>
      <c r="B60" s="143"/>
      <c r="C60" s="142" t="s">
        <v>265</v>
      </c>
      <c r="D60" s="143"/>
      <c r="E60" s="143"/>
      <c r="F60" s="143"/>
      <c r="G60" s="143"/>
      <c r="H60" s="143"/>
      <c r="I60" s="142" t="s">
        <v>459</v>
      </c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2" t="s">
        <v>636</v>
      </c>
      <c r="AM60" s="143"/>
      <c r="AN60" s="140">
        <v>759</v>
      </c>
      <c r="AO60" s="141"/>
      <c r="AP60" s="141"/>
      <c r="AQ60" s="141"/>
      <c r="AR60" s="141"/>
      <c r="AS60" s="140">
        <v>21</v>
      </c>
      <c r="AT60" s="141"/>
      <c r="AU60" s="141"/>
      <c r="AV60" s="141"/>
      <c r="AW60" s="141"/>
      <c r="AX60" s="141"/>
      <c r="AY60" s="141"/>
      <c r="AZ60" s="141"/>
      <c r="BA60" s="140">
        <f t="shared" si="9"/>
        <v>15939</v>
      </c>
      <c r="BB60" s="141"/>
      <c r="BC60" s="141"/>
      <c r="BD60" s="141"/>
      <c r="BE60" s="141"/>
      <c r="BF60" s="141"/>
      <c r="BG60" s="141"/>
      <c r="BH60" s="141"/>
      <c r="BI60" s="142" t="s">
        <v>653</v>
      </c>
      <c r="BJ60" s="143"/>
      <c r="BK60" s="143"/>
      <c r="BL60" s="143"/>
      <c r="BM60" s="143"/>
      <c r="BN60" s="143"/>
      <c r="IR60" s="9">
        <f>AS60*0.428571428571429</f>
        <v>9.0000000000000089</v>
      </c>
      <c r="IS60" s="9">
        <f>AS60*(1-0.428571428571429)</f>
        <v>11.999999999999989</v>
      </c>
    </row>
    <row r="61" spans="1:253">
      <c r="A61" s="142"/>
      <c r="B61" s="143"/>
      <c r="C61" s="143"/>
      <c r="D61" s="143"/>
      <c r="E61" s="143"/>
      <c r="F61" s="143"/>
      <c r="G61" s="143"/>
      <c r="H61" s="143"/>
      <c r="I61" s="150" t="s">
        <v>460</v>
      </c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1"/>
      <c r="AG61" s="151"/>
      <c r="AH61" s="151"/>
      <c r="AI61" s="151"/>
      <c r="AJ61" s="151"/>
      <c r="AK61" s="151"/>
      <c r="AL61" s="142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  <c r="BI61" s="143"/>
      <c r="BJ61" s="143"/>
      <c r="BK61" s="143"/>
      <c r="BL61" s="143"/>
      <c r="BM61" s="143"/>
      <c r="BN61" s="143"/>
    </row>
    <row r="62" spans="1:253">
      <c r="A62" s="142" t="s">
        <v>48</v>
      </c>
      <c r="B62" s="143"/>
      <c r="C62" s="142" t="s">
        <v>266</v>
      </c>
      <c r="D62" s="143"/>
      <c r="E62" s="143"/>
      <c r="F62" s="143"/>
      <c r="G62" s="143"/>
      <c r="H62" s="143"/>
      <c r="I62" s="142" t="s">
        <v>461</v>
      </c>
      <c r="J62" s="143"/>
      <c r="K62" s="143"/>
      <c r="L62" s="143"/>
      <c r="M62" s="143"/>
      <c r="N62" s="143"/>
      <c r="O62" s="143"/>
      <c r="P62" s="143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3"/>
      <c r="AK62" s="143"/>
      <c r="AL62" s="142" t="s">
        <v>636</v>
      </c>
      <c r="AM62" s="143"/>
      <c r="AN62" s="140">
        <v>759</v>
      </c>
      <c r="AO62" s="141"/>
      <c r="AP62" s="141"/>
      <c r="AQ62" s="141"/>
      <c r="AR62" s="141"/>
      <c r="AS62" s="140">
        <v>58.59</v>
      </c>
      <c r="AT62" s="141"/>
      <c r="AU62" s="141"/>
      <c r="AV62" s="141"/>
      <c r="AW62" s="141"/>
      <c r="AX62" s="141"/>
      <c r="AY62" s="141"/>
      <c r="AZ62" s="141"/>
      <c r="BA62" s="140">
        <f t="shared" ref="BA62:BA93" si="10">IR62*AN62+IS62*AN62</f>
        <v>44469.810000000005</v>
      </c>
      <c r="BB62" s="141"/>
      <c r="BC62" s="141"/>
      <c r="BD62" s="141"/>
      <c r="BE62" s="141"/>
      <c r="BF62" s="141"/>
      <c r="BG62" s="141"/>
      <c r="BH62" s="141"/>
      <c r="BI62" s="142" t="s">
        <v>653</v>
      </c>
      <c r="BJ62" s="143"/>
      <c r="BK62" s="143"/>
      <c r="BL62" s="143"/>
      <c r="BM62" s="143"/>
      <c r="BN62" s="143"/>
      <c r="IR62" s="9">
        <f>AS62*0</f>
        <v>0</v>
      </c>
      <c r="IS62" s="9">
        <f>AS62*(1-0)</f>
        <v>58.59</v>
      </c>
    </row>
    <row r="63" spans="1:253">
      <c r="A63" s="155" t="s">
        <v>49</v>
      </c>
      <c r="B63" s="156"/>
      <c r="C63" s="155" t="s">
        <v>267</v>
      </c>
      <c r="D63" s="156"/>
      <c r="E63" s="156"/>
      <c r="F63" s="156"/>
      <c r="G63" s="156"/>
      <c r="H63" s="156"/>
      <c r="I63" s="155" t="s">
        <v>462</v>
      </c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  <c r="AL63" s="155" t="s">
        <v>638</v>
      </c>
      <c r="AM63" s="156"/>
      <c r="AN63" s="153">
        <v>75.900000000000006</v>
      </c>
      <c r="AO63" s="154"/>
      <c r="AP63" s="154"/>
      <c r="AQ63" s="154"/>
      <c r="AR63" s="154"/>
      <c r="AS63" s="153">
        <v>704</v>
      </c>
      <c r="AT63" s="154"/>
      <c r="AU63" s="154"/>
      <c r="AV63" s="154"/>
      <c r="AW63" s="154"/>
      <c r="AX63" s="154"/>
      <c r="AY63" s="154"/>
      <c r="AZ63" s="154"/>
      <c r="BA63" s="153">
        <f t="shared" si="10"/>
        <v>53433.600000000006</v>
      </c>
      <c r="BB63" s="154"/>
      <c r="BC63" s="154"/>
      <c r="BD63" s="154"/>
      <c r="BE63" s="154"/>
      <c r="BF63" s="154"/>
      <c r="BG63" s="154"/>
      <c r="BH63" s="154"/>
      <c r="BI63" s="155" t="s">
        <v>653</v>
      </c>
      <c r="BJ63" s="156"/>
      <c r="BK63" s="156"/>
      <c r="BL63" s="156"/>
      <c r="BM63" s="156"/>
      <c r="BN63" s="156"/>
      <c r="IR63" s="10">
        <f>AS63*1</f>
        <v>704</v>
      </c>
      <c r="IS63" s="10">
        <f>AS63*(1-1)</f>
        <v>0</v>
      </c>
    </row>
    <row r="64" spans="1:253">
      <c r="A64" s="142" t="s">
        <v>50</v>
      </c>
      <c r="B64" s="143"/>
      <c r="C64" s="142" t="s">
        <v>268</v>
      </c>
      <c r="D64" s="143"/>
      <c r="E64" s="143"/>
      <c r="F64" s="143"/>
      <c r="G64" s="143"/>
      <c r="H64" s="143"/>
      <c r="I64" s="142" t="s">
        <v>463</v>
      </c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2" t="s">
        <v>636</v>
      </c>
      <c r="AM64" s="143"/>
      <c r="AN64" s="140">
        <v>759</v>
      </c>
      <c r="AO64" s="141"/>
      <c r="AP64" s="141"/>
      <c r="AQ64" s="141"/>
      <c r="AR64" s="141"/>
      <c r="AS64" s="140">
        <v>29.4</v>
      </c>
      <c r="AT64" s="141"/>
      <c r="AU64" s="141"/>
      <c r="AV64" s="141"/>
      <c r="AW64" s="141"/>
      <c r="AX64" s="141"/>
      <c r="AY64" s="141"/>
      <c r="AZ64" s="141"/>
      <c r="BA64" s="140">
        <f t="shared" si="10"/>
        <v>22314.6</v>
      </c>
      <c r="BB64" s="141"/>
      <c r="BC64" s="141"/>
      <c r="BD64" s="141"/>
      <c r="BE64" s="141"/>
      <c r="BF64" s="141"/>
      <c r="BG64" s="141"/>
      <c r="BH64" s="141"/>
      <c r="BI64" s="142" t="s">
        <v>653</v>
      </c>
      <c r="BJ64" s="143"/>
      <c r="BK64" s="143"/>
      <c r="BL64" s="143"/>
      <c r="BM64" s="143"/>
      <c r="BN64" s="143"/>
      <c r="IR64" s="9">
        <f>AS64*0</f>
        <v>0</v>
      </c>
      <c r="IS64" s="9">
        <f>AS64*(1-0)</f>
        <v>29.4</v>
      </c>
    </row>
    <row r="65" spans="1:253">
      <c r="A65" s="142" t="s">
        <v>51</v>
      </c>
      <c r="B65" s="143"/>
      <c r="C65" s="142" t="s">
        <v>269</v>
      </c>
      <c r="D65" s="143"/>
      <c r="E65" s="143"/>
      <c r="F65" s="143"/>
      <c r="G65" s="143"/>
      <c r="H65" s="143"/>
      <c r="I65" s="142" t="s">
        <v>464</v>
      </c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2" t="s">
        <v>638</v>
      </c>
      <c r="AM65" s="143"/>
      <c r="AN65" s="140">
        <v>18.975000000000001</v>
      </c>
      <c r="AO65" s="141"/>
      <c r="AP65" s="141"/>
      <c r="AQ65" s="141"/>
      <c r="AR65" s="141"/>
      <c r="AS65" s="140">
        <v>134</v>
      </c>
      <c r="AT65" s="141"/>
      <c r="AU65" s="141"/>
      <c r="AV65" s="141"/>
      <c r="AW65" s="141"/>
      <c r="AX65" s="141"/>
      <c r="AY65" s="141"/>
      <c r="AZ65" s="141"/>
      <c r="BA65" s="140">
        <f t="shared" si="10"/>
        <v>2542.65</v>
      </c>
      <c r="BB65" s="141"/>
      <c r="BC65" s="141"/>
      <c r="BD65" s="141"/>
      <c r="BE65" s="141"/>
      <c r="BF65" s="141"/>
      <c r="BG65" s="141"/>
      <c r="BH65" s="141"/>
      <c r="BI65" s="142" t="s">
        <v>653</v>
      </c>
      <c r="BJ65" s="143"/>
      <c r="BK65" s="143"/>
      <c r="BL65" s="143"/>
      <c r="BM65" s="143"/>
      <c r="BN65" s="143"/>
      <c r="IR65" s="9">
        <f>AS65*0.305970149253731</f>
        <v>40.999999999999957</v>
      </c>
      <c r="IS65" s="9">
        <f>AS65*(1-0.305970149253731)</f>
        <v>93.000000000000043</v>
      </c>
    </row>
    <row r="66" spans="1:253">
      <c r="A66" s="142" t="s">
        <v>52</v>
      </c>
      <c r="B66" s="143"/>
      <c r="C66" s="142" t="s">
        <v>270</v>
      </c>
      <c r="D66" s="143"/>
      <c r="E66" s="143"/>
      <c r="F66" s="143"/>
      <c r="G66" s="143"/>
      <c r="H66" s="143"/>
      <c r="I66" s="142" t="s">
        <v>465</v>
      </c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3"/>
      <c r="AL66" s="142" t="s">
        <v>638</v>
      </c>
      <c r="AM66" s="143"/>
      <c r="AN66" s="140">
        <v>18.975000000000001</v>
      </c>
      <c r="AO66" s="141"/>
      <c r="AP66" s="141"/>
      <c r="AQ66" s="141"/>
      <c r="AR66" s="141"/>
      <c r="AS66" s="140">
        <v>687</v>
      </c>
      <c r="AT66" s="141"/>
      <c r="AU66" s="141"/>
      <c r="AV66" s="141"/>
      <c r="AW66" s="141"/>
      <c r="AX66" s="141"/>
      <c r="AY66" s="141"/>
      <c r="AZ66" s="141"/>
      <c r="BA66" s="140">
        <f t="shared" si="10"/>
        <v>13035.825000000001</v>
      </c>
      <c r="BB66" s="141"/>
      <c r="BC66" s="141"/>
      <c r="BD66" s="141"/>
      <c r="BE66" s="141"/>
      <c r="BF66" s="141"/>
      <c r="BG66" s="141"/>
      <c r="BH66" s="141"/>
      <c r="BI66" s="142" t="s">
        <v>653</v>
      </c>
      <c r="BJ66" s="143"/>
      <c r="BK66" s="143"/>
      <c r="BL66" s="143"/>
      <c r="BM66" s="143"/>
      <c r="BN66" s="143"/>
      <c r="IR66" s="9">
        <f>AS66*0</f>
        <v>0</v>
      </c>
      <c r="IS66" s="9">
        <f>AS66*(1-0)</f>
        <v>687</v>
      </c>
    </row>
    <row r="67" spans="1:253">
      <c r="A67" s="142" t="s">
        <v>53</v>
      </c>
      <c r="B67" s="143"/>
      <c r="C67" s="142" t="s">
        <v>271</v>
      </c>
      <c r="D67" s="143"/>
      <c r="E67" s="143"/>
      <c r="F67" s="143"/>
      <c r="G67" s="143"/>
      <c r="H67" s="143"/>
      <c r="I67" s="142" t="s">
        <v>466</v>
      </c>
      <c r="J67" s="143"/>
      <c r="K67" s="143"/>
      <c r="L67" s="143"/>
      <c r="M67" s="143"/>
      <c r="N67" s="143"/>
      <c r="O67" s="143"/>
      <c r="P67" s="143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3"/>
      <c r="AC67" s="143"/>
      <c r="AD67" s="143"/>
      <c r="AE67" s="143"/>
      <c r="AF67" s="143"/>
      <c r="AG67" s="143"/>
      <c r="AH67" s="143"/>
      <c r="AI67" s="143"/>
      <c r="AJ67" s="143"/>
      <c r="AK67" s="143"/>
      <c r="AL67" s="142" t="s">
        <v>637</v>
      </c>
      <c r="AM67" s="143"/>
      <c r="AN67" s="140">
        <v>3</v>
      </c>
      <c r="AO67" s="141"/>
      <c r="AP67" s="141"/>
      <c r="AQ67" s="141"/>
      <c r="AR67" s="141"/>
      <c r="AS67" s="140">
        <v>39.5</v>
      </c>
      <c r="AT67" s="141"/>
      <c r="AU67" s="141"/>
      <c r="AV67" s="141"/>
      <c r="AW67" s="141"/>
      <c r="AX67" s="141"/>
      <c r="AY67" s="141"/>
      <c r="AZ67" s="141"/>
      <c r="BA67" s="140">
        <f t="shared" si="10"/>
        <v>118.5</v>
      </c>
      <c r="BB67" s="141"/>
      <c r="BC67" s="141"/>
      <c r="BD67" s="141"/>
      <c r="BE67" s="141"/>
      <c r="BF67" s="141"/>
      <c r="BG67" s="141"/>
      <c r="BH67" s="141"/>
      <c r="BI67" s="142" t="s">
        <v>653</v>
      </c>
      <c r="BJ67" s="143"/>
      <c r="BK67" s="143"/>
      <c r="BL67" s="143"/>
      <c r="BM67" s="143"/>
      <c r="BN67" s="143"/>
      <c r="IR67" s="9">
        <f>AS67*0.0311392405063291</f>
        <v>1.2299999999999993</v>
      </c>
      <c r="IS67" s="9">
        <f>AS67*(1-0.0311392405063291)</f>
        <v>38.270000000000003</v>
      </c>
    </row>
    <row r="68" spans="1:253">
      <c r="A68" s="142" t="s">
        <v>54</v>
      </c>
      <c r="B68" s="143"/>
      <c r="C68" s="142" t="s">
        <v>272</v>
      </c>
      <c r="D68" s="143"/>
      <c r="E68" s="143"/>
      <c r="F68" s="143"/>
      <c r="G68" s="143"/>
      <c r="H68" s="143"/>
      <c r="I68" s="142" t="s">
        <v>467</v>
      </c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3"/>
      <c r="AC68" s="143"/>
      <c r="AD68" s="143"/>
      <c r="AE68" s="143"/>
      <c r="AF68" s="143"/>
      <c r="AG68" s="143"/>
      <c r="AH68" s="143"/>
      <c r="AI68" s="143"/>
      <c r="AJ68" s="143"/>
      <c r="AK68" s="143"/>
      <c r="AL68" s="142" t="s">
        <v>637</v>
      </c>
      <c r="AM68" s="143"/>
      <c r="AN68" s="140">
        <v>3</v>
      </c>
      <c r="AO68" s="141"/>
      <c r="AP68" s="141"/>
      <c r="AQ68" s="141"/>
      <c r="AR68" s="141"/>
      <c r="AS68" s="140">
        <v>236.51</v>
      </c>
      <c r="AT68" s="141"/>
      <c r="AU68" s="141"/>
      <c r="AV68" s="141"/>
      <c r="AW68" s="141"/>
      <c r="AX68" s="141"/>
      <c r="AY68" s="141"/>
      <c r="AZ68" s="141"/>
      <c r="BA68" s="140">
        <f t="shared" si="10"/>
        <v>709.53</v>
      </c>
      <c r="BB68" s="141"/>
      <c r="BC68" s="141"/>
      <c r="BD68" s="141"/>
      <c r="BE68" s="141"/>
      <c r="BF68" s="141"/>
      <c r="BG68" s="141"/>
      <c r="BH68" s="141"/>
      <c r="BI68" s="142" t="s">
        <v>653</v>
      </c>
      <c r="BJ68" s="143"/>
      <c r="BK68" s="143"/>
      <c r="BL68" s="143"/>
      <c r="BM68" s="143"/>
      <c r="BN68" s="143"/>
      <c r="IR68" s="9">
        <f>AS68*0</f>
        <v>0</v>
      </c>
      <c r="IS68" s="9">
        <f>AS68*(1-0)</f>
        <v>236.51</v>
      </c>
    </row>
    <row r="69" spans="1:253">
      <c r="A69" s="142" t="s">
        <v>55</v>
      </c>
      <c r="B69" s="143"/>
      <c r="C69" s="142" t="s">
        <v>273</v>
      </c>
      <c r="D69" s="143"/>
      <c r="E69" s="143"/>
      <c r="F69" s="143"/>
      <c r="G69" s="143"/>
      <c r="H69" s="143"/>
      <c r="I69" s="142" t="s">
        <v>468</v>
      </c>
      <c r="J69" s="143"/>
      <c r="K69" s="143"/>
      <c r="L69" s="143"/>
      <c r="M69" s="143"/>
      <c r="N69" s="143"/>
      <c r="O69" s="143"/>
      <c r="P69" s="143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3"/>
      <c r="AC69" s="143"/>
      <c r="AD69" s="143"/>
      <c r="AE69" s="143"/>
      <c r="AF69" s="143"/>
      <c r="AG69" s="143"/>
      <c r="AH69" s="143"/>
      <c r="AI69" s="143"/>
      <c r="AJ69" s="143"/>
      <c r="AK69" s="143"/>
      <c r="AL69" s="142" t="s">
        <v>637</v>
      </c>
      <c r="AM69" s="143"/>
      <c r="AN69" s="140">
        <v>3010</v>
      </c>
      <c r="AO69" s="141"/>
      <c r="AP69" s="141"/>
      <c r="AQ69" s="141"/>
      <c r="AR69" s="141"/>
      <c r="AS69" s="140">
        <v>4.95</v>
      </c>
      <c r="AT69" s="141"/>
      <c r="AU69" s="141"/>
      <c r="AV69" s="141"/>
      <c r="AW69" s="141"/>
      <c r="AX69" s="141"/>
      <c r="AY69" s="141"/>
      <c r="AZ69" s="141"/>
      <c r="BA69" s="140">
        <f t="shared" si="10"/>
        <v>14899.500000000002</v>
      </c>
      <c r="BB69" s="141"/>
      <c r="BC69" s="141"/>
      <c r="BD69" s="141"/>
      <c r="BE69" s="141"/>
      <c r="BF69" s="141"/>
      <c r="BG69" s="141"/>
      <c r="BH69" s="141"/>
      <c r="BI69" s="142" t="s">
        <v>654</v>
      </c>
      <c r="BJ69" s="143"/>
      <c r="BK69" s="143"/>
      <c r="BL69" s="143"/>
      <c r="BM69" s="143"/>
      <c r="BN69" s="143"/>
      <c r="IR69" s="9">
        <f>AS69*0.0161616161616162</f>
        <v>8.0000000000000196E-2</v>
      </c>
      <c r="IS69" s="9">
        <f>AS69*(1-0.0161616161616162)</f>
        <v>4.87</v>
      </c>
    </row>
    <row r="70" spans="1:253">
      <c r="A70" s="142" t="s">
        <v>56</v>
      </c>
      <c r="B70" s="143"/>
      <c r="C70" s="142" t="s">
        <v>274</v>
      </c>
      <c r="D70" s="143"/>
      <c r="E70" s="143"/>
      <c r="F70" s="143"/>
      <c r="G70" s="143"/>
      <c r="H70" s="143"/>
      <c r="I70" s="142" t="s">
        <v>469</v>
      </c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3"/>
      <c r="AK70" s="143"/>
      <c r="AL70" s="142" t="s">
        <v>636</v>
      </c>
      <c r="AM70" s="143"/>
      <c r="AN70" s="140">
        <v>759</v>
      </c>
      <c r="AO70" s="141"/>
      <c r="AP70" s="141"/>
      <c r="AQ70" s="141"/>
      <c r="AR70" s="141"/>
      <c r="AS70" s="140">
        <v>23.7</v>
      </c>
      <c r="AT70" s="141"/>
      <c r="AU70" s="141"/>
      <c r="AV70" s="141"/>
      <c r="AW70" s="141"/>
      <c r="AX70" s="141"/>
      <c r="AY70" s="141"/>
      <c r="AZ70" s="141"/>
      <c r="BA70" s="140">
        <f t="shared" si="10"/>
        <v>17988.3</v>
      </c>
      <c r="BB70" s="141"/>
      <c r="BC70" s="141"/>
      <c r="BD70" s="141"/>
      <c r="BE70" s="141"/>
      <c r="BF70" s="141"/>
      <c r="BG70" s="141"/>
      <c r="BH70" s="141"/>
      <c r="BI70" s="142" t="s">
        <v>654</v>
      </c>
      <c r="BJ70" s="143"/>
      <c r="BK70" s="143"/>
      <c r="BL70" s="143"/>
      <c r="BM70" s="143"/>
      <c r="BN70" s="143"/>
      <c r="IR70" s="9">
        <f t="shared" ref="IR70:IR115" si="11">AS70*0</f>
        <v>0</v>
      </c>
      <c r="IS70" s="9">
        <f t="shared" ref="IS70:IS115" si="12">AS70*(1-0)</f>
        <v>23.7</v>
      </c>
    </row>
    <row r="71" spans="1:253">
      <c r="A71" s="142" t="s">
        <v>57</v>
      </c>
      <c r="B71" s="143"/>
      <c r="C71" s="142" t="s">
        <v>275</v>
      </c>
      <c r="D71" s="143"/>
      <c r="E71" s="143"/>
      <c r="F71" s="143"/>
      <c r="G71" s="143"/>
      <c r="H71" s="143"/>
      <c r="I71" s="142" t="s">
        <v>470</v>
      </c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3"/>
      <c r="AC71" s="143"/>
      <c r="AD71" s="143"/>
      <c r="AE71" s="143"/>
      <c r="AF71" s="143"/>
      <c r="AG71" s="143"/>
      <c r="AH71" s="143"/>
      <c r="AI71" s="143"/>
      <c r="AJ71" s="143"/>
      <c r="AK71" s="143"/>
      <c r="AL71" s="142" t="s">
        <v>637</v>
      </c>
      <c r="AM71" s="143"/>
      <c r="AN71" s="140">
        <v>3010</v>
      </c>
      <c r="AO71" s="141"/>
      <c r="AP71" s="141"/>
      <c r="AQ71" s="141"/>
      <c r="AR71" s="141"/>
      <c r="AS71" s="140">
        <v>12</v>
      </c>
      <c r="AT71" s="141"/>
      <c r="AU71" s="141"/>
      <c r="AV71" s="141"/>
      <c r="AW71" s="141"/>
      <c r="AX71" s="141"/>
      <c r="AY71" s="141"/>
      <c r="AZ71" s="141"/>
      <c r="BA71" s="140">
        <f t="shared" si="10"/>
        <v>36120</v>
      </c>
      <c r="BB71" s="141"/>
      <c r="BC71" s="141"/>
      <c r="BD71" s="141"/>
      <c r="BE71" s="141"/>
      <c r="BF71" s="141"/>
      <c r="BG71" s="141"/>
      <c r="BH71" s="141"/>
      <c r="BI71" s="142" t="s">
        <v>653</v>
      </c>
      <c r="BJ71" s="143"/>
      <c r="BK71" s="143"/>
      <c r="BL71" s="143"/>
      <c r="BM71" s="143"/>
      <c r="BN71" s="143"/>
      <c r="IR71" s="9">
        <f t="shared" si="11"/>
        <v>0</v>
      </c>
      <c r="IS71" s="9">
        <f t="shared" si="12"/>
        <v>12</v>
      </c>
    </row>
    <row r="72" spans="1:253">
      <c r="A72" s="142" t="s">
        <v>58</v>
      </c>
      <c r="B72" s="143"/>
      <c r="C72" s="142" t="s">
        <v>276</v>
      </c>
      <c r="D72" s="143"/>
      <c r="E72" s="143"/>
      <c r="F72" s="143"/>
      <c r="G72" s="143"/>
      <c r="H72" s="143"/>
      <c r="I72" s="142" t="s">
        <v>471</v>
      </c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3"/>
      <c r="AC72" s="143"/>
      <c r="AD72" s="143"/>
      <c r="AE72" s="143"/>
      <c r="AF72" s="143"/>
      <c r="AG72" s="143"/>
      <c r="AH72" s="143"/>
      <c r="AI72" s="143"/>
      <c r="AJ72" s="143"/>
      <c r="AK72" s="143"/>
      <c r="AL72" s="142" t="s">
        <v>642</v>
      </c>
      <c r="AM72" s="143"/>
      <c r="AN72" s="140">
        <v>200</v>
      </c>
      <c r="AO72" s="141"/>
      <c r="AP72" s="141"/>
      <c r="AQ72" s="141"/>
      <c r="AR72" s="141"/>
      <c r="AS72" s="140">
        <v>49</v>
      </c>
      <c r="AT72" s="141"/>
      <c r="AU72" s="141"/>
      <c r="AV72" s="141"/>
      <c r="AW72" s="141"/>
      <c r="AX72" s="141"/>
      <c r="AY72" s="141"/>
      <c r="AZ72" s="141"/>
      <c r="BA72" s="140">
        <f t="shared" si="10"/>
        <v>9800</v>
      </c>
      <c r="BB72" s="141"/>
      <c r="BC72" s="141"/>
      <c r="BD72" s="141"/>
      <c r="BE72" s="141"/>
      <c r="BF72" s="141"/>
      <c r="BG72" s="141"/>
      <c r="BH72" s="141"/>
      <c r="BI72" s="142"/>
      <c r="BJ72" s="143"/>
      <c r="BK72" s="143"/>
      <c r="BL72" s="143"/>
      <c r="BM72" s="143"/>
      <c r="BN72" s="143"/>
      <c r="IR72" s="9">
        <f t="shared" si="11"/>
        <v>0</v>
      </c>
      <c r="IS72" s="9">
        <f t="shared" si="12"/>
        <v>49</v>
      </c>
    </row>
    <row r="73" spans="1:253">
      <c r="A73" s="142" t="s">
        <v>59</v>
      </c>
      <c r="B73" s="143"/>
      <c r="C73" s="142" t="s">
        <v>277</v>
      </c>
      <c r="D73" s="143"/>
      <c r="E73" s="143"/>
      <c r="F73" s="143"/>
      <c r="G73" s="143"/>
      <c r="H73" s="143"/>
      <c r="I73" s="142" t="s">
        <v>472</v>
      </c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3"/>
      <c r="AC73" s="143"/>
      <c r="AD73" s="143"/>
      <c r="AE73" s="143"/>
      <c r="AF73" s="143"/>
      <c r="AG73" s="143"/>
      <c r="AH73" s="143"/>
      <c r="AI73" s="143"/>
      <c r="AJ73" s="143"/>
      <c r="AK73" s="143"/>
      <c r="AL73" s="142" t="s">
        <v>642</v>
      </c>
      <c r="AM73" s="143"/>
      <c r="AN73" s="140">
        <v>180</v>
      </c>
      <c r="AO73" s="141"/>
      <c r="AP73" s="141"/>
      <c r="AQ73" s="141"/>
      <c r="AR73" s="141"/>
      <c r="AS73" s="140">
        <v>49</v>
      </c>
      <c r="AT73" s="141"/>
      <c r="AU73" s="141"/>
      <c r="AV73" s="141"/>
      <c r="AW73" s="141"/>
      <c r="AX73" s="141"/>
      <c r="AY73" s="141"/>
      <c r="AZ73" s="141"/>
      <c r="BA73" s="140">
        <f t="shared" si="10"/>
        <v>8820</v>
      </c>
      <c r="BB73" s="141"/>
      <c r="BC73" s="141"/>
      <c r="BD73" s="141"/>
      <c r="BE73" s="141"/>
      <c r="BF73" s="141"/>
      <c r="BG73" s="141"/>
      <c r="BH73" s="141"/>
      <c r="BI73" s="142"/>
      <c r="BJ73" s="143"/>
      <c r="BK73" s="143"/>
      <c r="BL73" s="143"/>
      <c r="BM73" s="143"/>
      <c r="BN73" s="143"/>
      <c r="IR73" s="9">
        <f t="shared" si="11"/>
        <v>0</v>
      </c>
      <c r="IS73" s="9">
        <f t="shared" si="12"/>
        <v>49</v>
      </c>
    </row>
    <row r="74" spans="1:253">
      <c r="A74" s="142" t="s">
        <v>60</v>
      </c>
      <c r="B74" s="143"/>
      <c r="C74" s="142" t="s">
        <v>278</v>
      </c>
      <c r="D74" s="143"/>
      <c r="E74" s="143"/>
      <c r="F74" s="143"/>
      <c r="G74" s="143"/>
      <c r="H74" s="143"/>
      <c r="I74" s="142" t="s">
        <v>473</v>
      </c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3"/>
      <c r="AC74" s="143"/>
      <c r="AD74" s="143"/>
      <c r="AE74" s="143"/>
      <c r="AF74" s="143"/>
      <c r="AG74" s="143"/>
      <c r="AH74" s="143"/>
      <c r="AI74" s="143"/>
      <c r="AJ74" s="143"/>
      <c r="AK74" s="143"/>
      <c r="AL74" s="142" t="s">
        <v>642</v>
      </c>
      <c r="AM74" s="143"/>
      <c r="AN74" s="140">
        <v>140</v>
      </c>
      <c r="AO74" s="141"/>
      <c r="AP74" s="141"/>
      <c r="AQ74" s="141"/>
      <c r="AR74" s="141"/>
      <c r="AS74" s="140">
        <v>79</v>
      </c>
      <c r="AT74" s="141"/>
      <c r="AU74" s="141"/>
      <c r="AV74" s="141"/>
      <c r="AW74" s="141"/>
      <c r="AX74" s="141"/>
      <c r="AY74" s="141"/>
      <c r="AZ74" s="141"/>
      <c r="BA74" s="140">
        <f t="shared" si="10"/>
        <v>11060</v>
      </c>
      <c r="BB74" s="141"/>
      <c r="BC74" s="141"/>
      <c r="BD74" s="141"/>
      <c r="BE74" s="141"/>
      <c r="BF74" s="141"/>
      <c r="BG74" s="141"/>
      <c r="BH74" s="141"/>
      <c r="BI74" s="142"/>
      <c r="BJ74" s="143"/>
      <c r="BK74" s="143"/>
      <c r="BL74" s="143"/>
      <c r="BM74" s="143"/>
      <c r="BN74" s="143"/>
      <c r="IR74" s="9">
        <f t="shared" si="11"/>
        <v>0</v>
      </c>
      <c r="IS74" s="9">
        <f t="shared" si="12"/>
        <v>79</v>
      </c>
    </row>
    <row r="75" spans="1:253">
      <c r="A75" s="142" t="s">
        <v>61</v>
      </c>
      <c r="B75" s="143"/>
      <c r="C75" s="142" t="s">
        <v>279</v>
      </c>
      <c r="D75" s="143"/>
      <c r="E75" s="143"/>
      <c r="F75" s="143"/>
      <c r="G75" s="143"/>
      <c r="H75" s="143"/>
      <c r="I75" s="142" t="s">
        <v>474</v>
      </c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143"/>
      <c r="AI75" s="143"/>
      <c r="AJ75" s="143"/>
      <c r="AK75" s="143"/>
      <c r="AL75" s="142" t="s">
        <v>642</v>
      </c>
      <c r="AM75" s="143"/>
      <c r="AN75" s="140">
        <v>160</v>
      </c>
      <c r="AO75" s="141"/>
      <c r="AP75" s="141"/>
      <c r="AQ75" s="141"/>
      <c r="AR75" s="141"/>
      <c r="AS75" s="140">
        <v>53</v>
      </c>
      <c r="AT75" s="141"/>
      <c r="AU75" s="141"/>
      <c r="AV75" s="141"/>
      <c r="AW75" s="141"/>
      <c r="AX75" s="141"/>
      <c r="AY75" s="141"/>
      <c r="AZ75" s="141"/>
      <c r="BA75" s="140">
        <f t="shared" si="10"/>
        <v>8480</v>
      </c>
      <c r="BB75" s="141"/>
      <c r="BC75" s="141"/>
      <c r="BD75" s="141"/>
      <c r="BE75" s="141"/>
      <c r="BF75" s="141"/>
      <c r="BG75" s="141"/>
      <c r="BH75" s="141"/>
      <c r="BI75" s="142"/>
      <c r="BJ75" s="143"/>
      <c r="BK75" s="143"/>
      <c r="BL75" s="143"/>
      <c r="BM75" s="143"/>
      <c r="BN75" s="143"/>
      <c r="IR75" s="9">
        <f t="shared" si="11"/>
        <v>0</v>
      </c>
      <c r="IS75" s="9">
        <f t="shared" si="12"/>
        <v>53</v>
      </c>
    </row>
    <row r="76" spans="1:253">
      <c r="A76" s="142" t="s">
        <v>62</v>
      </c>
      <c r="B76" s="143"/>
      <c r="C76" s="142" t="s">
        <v>280</v>
      </c>
      <c r="D76" s="143"/>
      <c r="E76" s="143"/>
      <c r="F76" s="143"/>
      <c r="G76" s="143"/>
      <c r="H76" s="143"/>
      <c r="I76" s="142" t="s">
        <v>475</v>
      </c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2" t="s">
        <v>642</v>
      </c>
      <c r="AM76" s="143"/>
      <c r="AN76" s="140">
        <v>160</v>
      </c>
      <c r="AO76" s="141"/>
      <c r="AP76" s="141"/>
      <c r="AQ76" s="141"/>
      <c r="AR76" s="141"/>
      <c r="AS76" s="140">
        <v>59</v>
      </c>
      <c r="AT76" s="141"/>
      <c r="AU76" s="141"/>
      <c r="AV76" s="141"/>
      <c r="AW76" s="141"/>
      <c r="AX76" s="141"/>
      <c r="AY76" s="141"/>
      <c r="AZ76" s="141"/>
      <c r="BA76" s="140">
        <f t="shared" si="10"/>
        <v>9440</v>
      </c>
      <c r="BB76" s="141"/>
      <c r="BC76" s="141"/>
      <c r="BD76" s="141"/>
      <c r="BE76" s="141"/>
      <c r="BF76" s="141"/>
      <c r="BG76" s="141"/>
      <c r="BH76" s="141"/>
      <c r="BI76" s="142"/>
      <c r="BJ76" s="143"/>
      <c r="BK76" s="143"/>
      <c r="BL76" s="143"/>
      <c r="BM76" s="143"/>
      <c r="BN76" s="143"/>
      <c r="IR76" s="9">
        <f t="shared" si="11"/>
        <v>0</v>
      </c>
      <c r="IS76" s="9">
        <f t="shared" si="12"/>
        <v>59</v>
      </c>
    </row>
    <row r="77" spans="1:253">
      <c r="A77" s="142" t="s">
        <v>63</v>
      </c>
      <c r="B77" s="143"/>
      <c r="C77" s="142" t="s">
        <v>281</v>
      </c>
      <c r="D77" s="143"/>
      <c r="E77" s="143"/>
      <c r="F77" s="143"/>
      <c r="G77" s="143"/>
      <c r="H77" s="143"/>
      <c r="I77" s="142" t="s">
        <v>476</v>
      </c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2" t="s">
        <v>642</v>
      </c>
      <c r="AM77" s="143"/>
      <c r="AN77" s="140">
        <v>200</v>
      </c>
      <c r="AO77" s="141"/>
      <c r="AP77" s="141"/>
      <c r="AQ77" s="141"/>
      <c r="AR77" s="141"/>
      <c r="AS77" s="140">
        <v>49</v>
      </c>
      <c r="AT77" s="141"/>
      <c r="AU77" s="141"/>
      <c r="AV77" s="141"/>
      <c r="AW77" s="141"/>
      <c r="AX77" s="141"/>
      <c r="AY77" s="141"/>
      <c r="AZ77" s="141"/>
      <c r="BA77" s="140">
        <f t="shared" si="10"/>
        <v>9800</v>
      </c>
      <c r="BB77" s="141"/>
      <c r="BC77" s="141"/>
      <c r="BD77" s="141"/>
      <c r="BE77" s="141"/>
      <c r="BF77" s="141"/>
      <c r="BG77" s="141"/>
      <c r="BH77" s="141"/>
      <c r="BI77" s="142"/>
      <c r="BJ77" s="143"/>
      <c r="BK77" s="143"/>
      <c r="BL77" s="143"/>
      <c r="BM77" s="143"/>
      <c r="BN77" s="143"/>
      <c r="IR77" s="9">
        <f t="shared" si="11"/>
        <v>0</v>
      </c>
      <c r="IS77" s="9">
        <f t="shared" si="12"/>
        <v>49</v>
      </c>
    </row>
    <row r="78" spans="1:253">
      <c r="A78" s="142" t="s">
        <v>64</v>
      </c>
      <c r="B78" s="143"/>
      <c r="C78" s="142" t="s">
        <v>282</v>
      </c>
      <c r="D78" s="143"/>
      <c r="E78" s="143"/>
      <c r="F78" s="143"/>
      <c r="G78" s="143"/>
      <c r="H78" s="143"/>
      <c r="I78" s="142" t="s">
        <v>477</v>
      </c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2" t="s">
        <v>642</v>
      </c>
      <c r="AM78" s="143"/>
      <c r="AN78" s="140">
        <v>80</v>
      </c>
      <c r="AO78" s="141"/>
      <c r="AP78" s="141"/>
      <c r="AQ78" s="141"/>
      <c r="AR78" s="141"/>
      <c r="AS78" s="140">
        <v>48</v>
      </c>
      <c r="AT78" s="141"/>
      <c r="AU78" s="141"/>
      <c r="AV78" s="141"/>
      <c r="AW78" s="141"/>
      <c r="AX78" s="141"/>
      <c r="AY78" s="141"/>
      <c r="AZ78" s="141"/>
      <c r="BA78" s="140">
        <f t="shared" si="10"/>
        <v>3840</v>
      </c>
      <c r="BB78" s="141"/>
      <c r="BC78" s="141"/>
      <c r="BD78" s="141"/>
      <c r="BE78" s="141"/>
      <c r="BF78" s="141"/>
      <c r="BG78" s="141"/>
      <c r="BH78" s="141"/>
      <c r="BI78" s="142"/>
      <c r="BJ78" s="143"/>
      <c r="BK78" s="143"/>
      <c r="BL78" s="143"/>
      <c r="BM78" s="143"/>
      <c r="BN78" s="143"/>
      <c r="IR78" s="9">
        <f t="shared" si="11"/>
        <v>0</v>
      </c>
      <c r="IS78" s="9">
        <f t="shared" si="12"/>
        <v>48</v>
      </c>
    </row>
    <row r="79" spans="1:253">
      <c r="A79" s="142" t="s">
        <v>65</v>
      </c>
      <c r="B79" s="143"/>
      <c r="C79" s="142" t="s">
        <v>283</v>
      </c>
      <c r="D79" s="143"/>
      <c r="E79" s="143"/>
      <c r="F79" s="143"/>
      <c r="G79" s="143"/>
      <c r="H79" s="143"/>
      <c r="I79" s="142" t="s">
        <v>478</v>
      </c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2" t="s">
        <v>642</v>
      </c>
      <c r="AM79" s="143"/>
      <c r="AN79" s="140">
        <v>100</v>
      </c>
      <c r="AO79" s="141"/>
      <c r="AP79" s="141"/>
      <c r="AQ79" s="141"/>
      <c r="AR79" s="141"/>
      <c r="AS79" s="140">
        <v>49</v>
      </c>
      <c r="AT79" s="141"/>
      <c r="AU79" s="141"/>
      <c r="AV79" s="141"/>
      <c r="AW79" s="141"/>
      <c r="AX79" s="141"/>
      <c r="AY79" s="141"/>
      <c r="AZ79" s="141"/>
      <c r="BA79" s="140">
        <f t="shared" si="10"/>
        <v>4900</v>
      </c>
      <c r="BB79" s="141"/>
      <c r="BC79" s="141"/>
      <c r="BD79" s="141"/>
      <c r="BE79" s="141"/>
      <c r="BF79" s="141"/>
      <c r="BG79" s="141"/>
      <c r="BH79" s="141"/>
      <c r="BI79" s="142"/>
      <c r="BJ79" s="143"/>
      <c r="BK79" s="143"/>
      <c r="BL79" s="143"/>
      <c r="BM79" s="143"/>
      <c r="BN79" s="143"/>
      <c r="IR79" s="9">
        <f t="shared" si="11"/>
        <v>0</v>
      </c>
      <c r="IS79" s="9">
        <f t="shared" si="12"/>
        <v>49</v>
      </c>
    </row>
    <row r="80" spans="1:253">
      <c r="A80" s="142" t="s">
        <v>66</v>
      </c>
      <c r="B80" s="143"/>
      <c r="C80" s="142" t="s">
        <v>284</v>
      </c>
      <c r="D80" s="143"/>
      <c r="E80" s="143"/>
      <c r="F80" s="143"/>
      <c r="G80" s="143"/>
      <c r="H80" s="143"/>
      <c r="I80" s="142" t="s">
        <v>479</v>
      </c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143"/>
      <c r="X80" s="143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2" t="s">
        <v>642</v>
      </c>
      <c r="AM80" s="143"/>
      <c r="AN80" s="140">
        <v>60</v>
      </c>
      <c r="AO80" s="141"/>
      <c r="AP80" s="141"/>
      <c r="AQ80" s="141"/>
      <c r="AR80" s="141"/>
      <c r="AS80" s="140">
        <v>51</v>
      </c>
      <c r="AT80" s="141"/>
      <c r="AU80" s="141"/>
      <c r="AV80" s="141"/>
      <c r="AW80" s="141"/>
      <c r="AX80" s="141"/>
      <c r="AY80" s="141"/>
      <c r="AZ80" s="141"/>
      <c r="BA80" s="140">
        <f t="shared" si="10"/>
        <v>3060</v>
      </c>
      <c r="BB80" s="141"/>
      <c r="BC80" s="141"/>
      <c r="BD80" s="141"/>
      <c r="BE80" s="141"/>
      <c r="BF80" s="141"/>
      <c r="BG80" s="141"/>
      <c r="BH80" s="141"/>
      <c r="BI80" s="142"/>
      <c r="BJ80" s="143"/>
      <c r="BK80" s="143"/>
      <c r="BL80" s="143"/>
      <c r="BM80" s="143"/>
      <c r="BN80" s="143"/>
      <c r="IR80" s="9">
        <f t="shared" si="11"/>
        <v>0</v>
      </c>
      <c r="IS80" s="9">
        <f t="shared" si="12"/>
        <v>51</v>
      </c>
    </row>
    <row r="81" spans="1:253">
      <c r="A81" s="142" t="s">
        <v>67</v>
      </c>
      <c r="B81" s="143"/>
      <c r="C81" s="142" t="s">
        <v>285</v>
      </c>
      <c r="D81" s="143"/>
      <c r="E81" s="143"/>
      <c r="F81" s="143"/>
      <c r="G81" s="143"/>
      <c r="H81" s="143"/>
      <c r="I81" s="142" t="s">
        <v>480</v>
      </c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2" t="s">
        <v>642</v>
      </c>
      <c r="AM81" s="143"/>
      <c r="AN81" s="140">
        <v>195</v>
      </c>
      <c r="AO81" s="141"/>
      <c r="AP81" s="141"/>
      <c r="AQ81" s="141"/>
      <c r="AR81" s="141"/>
      <c r="AS81" s="140">
        <v>47</v>
      </c>
      <c r="AT81" s="141"/>
      <c r="AU81" s="141"/>
      <c r="AV81" s="141"/>
      <c r="AW81" s="141"/>
      <c r="AX81" s="141"/>
      <c r="AY81" s="141"/>
      <c r="AZ81" s="141"/>
      <c r="BA81" s="140">
        <f t="shared" si="10"/>
        <v>9165</v>
      </c>
      <c r="BB81" s="141"/>
      <c r="BC81" s="141"/>
      <c r="BD81" s="141"/>
      <c r="BE81" s="141"/>
      <c r="BF81" s="141"/>
      <c r="BG81" s="141"/>
      <c r="BH81" s="141"/>
      <c r="BI81" s="142"/>
      <c r="BJ81" s="143"/>
      <c r="BK81" s="143"/>
      <c r="BL81" s="143"/>
      <c r="BM81" s="143"/>
      <c r="BN81" s="143"/>
      <c r="IR81" s="9">
        <f t="shared" si="11"/>
        <v>0</v>
      </c>
      <c r="IS81" s="9">
        <f t="shared" si="12"/>
        <v>47</v>
      </c>
    </row>
    <row r="82" spans="1:253">
      <c r="A82" s="142" t="s">
        <v>68</v>
      </c>
      <c r="B82" s="143"/>
      <c r="C82" s="142" t="s">
        <v>286</v>
      </c>
      <c r="D82" s="143"/>
      <c r="E82" s="143"/>
      <c r="F82" s="143"/>
      <c r="G82" s="143"/>
      <c r="H82" s="143"/>
      <c r="I82" s="142" t="s">
        <v>481</v>
      </c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2" t="s">
        <v>642</v>
      </c>
      <c r="AM82" s="143"/>
      <c r="AN82" s="140">
        <v>130</v>
      </c>
      <c r="AO82" s="141"/>
      <c r="AP82" s="141"/>
      <c r="AQ82" s="141"/>
      <c r="AR82" s="141"/>
      <c r="AS82" s="140">
        <v>51</v>
      </c>
      <c r="AT82" s="141"/>
      <c r="AU82" s="141"/>
      <c r="AV82" s="141"/>
      <c r="AW82" s="141"/>
      <c r="AX82" s="141"/>
      <c r="AY82" s="141"/>
      <c r="AZ82" s="141"/>
      <c r="BA82" s="140">
        <f t="shared" si="10"/>
        <v>6630</v>
      </c>
      <c r="BB82" s="141"/>
      <c r="BC82" s="141"/>
      <c r="BD82" s="141"/>
      <c r="BE82" s="141"/>
      <c r="BF82" s="141"/>
      <c r="BG82" s="141"/>
      <c r="BH82" s="141"/>
      <c r="BI82" s="142"/>
      <c r="BJ82" s="143"/>
      <c r="BK82" s="143"/>
      <c r="BL82" s="143"/>
      <c r="BM82" s="143"/>
      <c r="BN82" s="143"/>
      <c r="IR82" s="9">
        <f t="shared" si="11"/>
        <v>0</v>
      </c>
      <c r="IS82" s="9">
        <f t="shared" si="12"/>
        <v>51</v>
      </c>
    </row>
    <row r="83" spans="1:253">
      <c r="A83" s="142" t="s">
        <v>69</v>
      </c>
      <c r="B83" s="143"/>
      <c r="C83" s="142" t="s">
        <v>287</v>
      </c>
      <c r="D83" s="143"/>
      <c r="E83" s="143"/>
      <c r="F83" s="143"/>
      <c r="G83" s="143"/>
      <c r="H83" s="143"/>
      <c r="I83" s="142" t="s">
        <v>482</v>
      </c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  <c r="AH83" s="143"/>
      <c r="AI83" s="143"/>
      <c r="AJ83" s="143"/>
      <c r="AK83" s="143"/>
      <c r="AL83" s="142" t="s">
        <v>642</v>
      </c>
      <c r="AM83" s="143"/>
      <c r="AN83" s="140">
        <v>390</v>
      </c>
      <c r="AO83" s="141"/>
      <c r="AP83" s="141"/>
      <c r="AQ83" s="141"/>
      <c r="AR83" s="141"/>
      <c r="AS83" s="140">
        <v>48</v>
      </c>
      <c r="AT83" s="141"/>
      <c r="AU83" s="141"/>
      <c r="AV83" s="141"/>
      <c r="AW83" s="141"/>
      <c r="AX83" s="141"/>
      <c r="AY83" s="141"/>
      <c r="AZ83" s="141"/>
      <c r="BA83" s="140">
        <f t="shared" si="10"/>
        <v>18720</v>
      </c>
      <c r="BB83" s="141"/>
      <c r="BC83" s="141"/>
      <c r="BD83" s="141"/>
      <c r="BE83" s="141"/>
      <c r="BF83" s="141"/>
      <c r="BG83" s="141"/>
      <c r="BH83" s="141"/>
      <c r="BI83" s="142"/>
      <c r="BJ83" s="143"/>
      <c r="BK83" s="143"/>
      <c r="BL83" s="143"/>
      <c r="BM83" s="143"/>
      <c r="BN83" s="143"/>
      <c r="IR83" s="9">
        <f t="shared" si="11"/>
        <v>0</v>
      </c>
      <c r="IS83" s="9">
        <f t="shared" si="12"/>
        <v>48</v>
      </c>
    </row>
    <row r="84" spans="1:253">
      <c r="A84" s="142" t="s">
        <v>70</v>
      </c>
      <c r="B84" s="143"/>
      <c r="C84" s="142" t="s">
        <v>288</v>
      </c>
      <c r="D84" s="143"/>
      <c r="E84" s="143"/>
      <c r="F84" s="143"/>
      <c r="G84" s="143"/>
      <c r="H84" s="143"/>
      <c r="I84" s="142" t="s">
        <v>483</v>
      </c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  <c r="AH84" s="143"/>
      <c r="AI84" s="143"/>
      <c r="AJ84" s="143"/>
      <c r="AK84" s="143"/>
      <c r="AL84" s="142" t="s">
        <v>642</v>
      </c>
      <c r="AM84" s="143"/>
      <c r="AN84" s="140">
        <v>250</v>
      </c>
      <c r="AO84" s="141"/>
      <c r="AP84" s="141"/>
      <c r="AQ84" s="141"/>
      <c r="AR84" s="141"/>
      <c r="AS84" s="140">
        <v>98</v>
      </c>
      <c r="AT84" s="141"/>
      <c r="AU84" s="141"/>
      <c r="AV84" s="141"/>
      <c r="AW84" s="141"/>
      <c r="AX84" s="141"/>
      <c r="AY84" s="141"/>
      <c r="AZ84" s="141"/>
      <c r="BA84" s="140">
        <f t="shared" si="10"/>
        <v>24500</v>
      </c>
      <c r="BB84" s="141"/>
      <c r="BC84" s="141"/>
      <c r="BD84" s="141"/>
      <c r="BE84" s="141"/>
      <c r="BF84" s="141"/>
      <c r="BG84" s="141"/>
      <c r="BH84" s="141"/>
      <c r="BI84" s="142"/>
      <c r="BJ84" s="143"/>
      <c r="BK84" s="143"/>
      <c r="BL84" s="143"/>
      <c r="BM84" s="143"/>
      <c r="BN84" s="143"/>
      <c r="IR84" s="9">
        <f t="shared" si="11"/>
        <v>0</v>
      </c>
      <c r="IS84" s="9">
        <f t="shared" si="12"/>
        <v>98</v>
      </c>
    </row>
    <row r="85" spans="1:253">
      <c r="A85" s="142" t="s">
        <v>71</v>
      </c>
      <c r="B85" s="143"/>
      <c r="C85" s="142" t="s">
        <v>288</v>
      </c>
      <c r="D85" s="143"/>
      <c r="E85" s="143"/>
      <c r="F85" s="143"/>
      <c r="G85" s="143"/>
      <c r="H85" s="143"/>
      <c r="I85" s="142" t="s">
        <v>484</v>
      </c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2" t="s">
        <v>642</v>
      </c>
      <c r="AM85" s="143"/>
      <c r="AN85" s="140">
        <v>30</v>
      </c>
      <c r="AO85" s="141"/>
      <c r="AP85" s="141"/>
      <c r="AQ85" s="141"/>
      <c r="AR85" s="141"/>
      <c r="AS85" s="140">
        <v>58</v>
      </c>
      <c r="AT85" s="141"/>
      <c r="AU85" s="141"/>
      <c r="AV85" s="141"/>
      <c r="AW85" s="141"/>
      <c r="AX85" s="141"/>
      <c r="AY85" s="141"/>
      <c r="AZ85" s="141"/>
      <c r="BA85" s="140">
        <f t="shared" si="10"/>
        <v>1740</v>
      </c>
      <c r="BB85" s="141"/>
      <c r="BC85" s="141"/>
      <c r="BD85" s="141"/>
      <c r="BE85" s="141"/>
      <c r="BF85" s="141"/>
      <c r="BG85" s="141"/>
      <c r="BH85" s="141"/>
      <c r="BI85" s="142"/>
      <c r="BJ85" s="143"/>
      <c r="BK85" s="143"/>
      <c r="BL85" s="143"/>
      <c r="BM85" s="143"/>
      <c r="BN85" s="143"/>
      <c r="IR85" s="9">
        <f t="shared" si="11"/>
        <v>0</v>
      </c>
      <c r="IS85" s="9">
        <f t="shared" si="12"/>
        <v>58</v>
      </c>
    </row>
    <row r="86" spans="1:253">
      <c r="A86" s="142" t="s">
        <v>72</v>
      </c>
      <c r="B86" s="143"/>
      <c r="C86" s="142" t="s">
        <v>289</v>
      </c>
      <c r="D86" s="143"/>
      <c r="E86" s="143"/>
      <c r="F86" s="143"/>
      <c r="G86" s="143"/>
      <c r="H86" s="143"/>
      <c r="I86" s="142" t="s">
        <v>485</v>
      </c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43"/>
      <c r="AL86" s="142" t="s">
        <v>642</v>
      </c>
      <c r="AM86" s="143"/>
      <c r="AN86" s="140">
        <v>30</v>
      </c>
      <c r="AO86" s="141"/>
      <c r="AP86" s="141"/>
      <c r="AQ86" s="141"/>
      <c r="AR86" s="141"/>
      <c r="AS86" s="140">
        <v>54</v>
      </c>
      <c r="AT86" s="141"/>
      <c r="AU86" s="141"/>
      <c r="AV86" s="141"/>
      <c r="AW86" s="141"/>
      <c r="AX86" s="141"/>
      <c r="AY86" s="141"/>
      <c r="AZ86" s="141"/>
      <c r="BA86" s="140">
        <f t="shared" si="10"/>
        <v>1620</v>
      </c>
      <c r="BB86" s="141"/>
      <c r="BC86" s="141"/>
      <c r="BD86" s="141"/>
      <c r="BE86" s="141"/>
      <c r="BF86" s="141"/>
      <c r="BG86" s="141"/>
      <c r="BH86" s="141"/>
      <c r="BI86" s="142"/>
      <c r="BJ86" s="143"/>
      <c r="BK86" s="143"/>
      <c r="BL86" s="143"/>
      <c r="BM86" s="143"/>
      <c r="BN86" s="143"/>
      <c r="IR86" s="9">
        <f t="shared" si="11"/>
        <v>0</v>
      </c>
      <c r="IS86" s="9">
        <f t="shared" si="12"/>
        <v>54</v>
      </c>
    </row>
    <row r="87" spans="1:253">
      <c r="A87" s="142" t="s">
        <v>73</v>
      </c>
      <c r="B87" s="143"/>
      <c r="C87" s="142" t="s">
        <v>290</v>
      </c>
      <c r="D87" s="143"/>
      <c r="E87" s="143"/>
      <c r="F87" s="143"/>
      <c r="G87" s="143"/>
      <c r="H87" s="143"/>
      <c r="I87" s="142" t="s">
        <v>486</v>
      </c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F87" s="143"/>
      <c r="AG87" s="143"/>
      <c r="AH87" s="143"/>
      <c r="AI87" s="143"/>
      <c r="AJ87" s="143"/>
      <c r="AK87" s="143"/>
      <c r="AL87" s="142" t="s">
        <v>642</v>
      </c>
      <c r="AM87" s="143"/>
      <c r="AN87" s="140">
        <v>45</v>
      </c>
      <c r="AO87" s="141"/>
      <c r="AP87" s="141"/>
      <c r="AQ87" s="141"/>
      <c r="AR87" s="141"/>
      <c r="AS87" s="140">
        <v>51</v>
      </c>
      <c r="AT87" s="141"/>
      <c r="AU87" s="141"/>
      <c r="AV87" s="141"/>
      <c r="AW87" s="141"/>
      <c r="AX87" s="141"/>
      <c r="AY87" s="141"/>
      <c r="AZ87" s="141"/>
      <c r="BA87" s="140">
        <f t="shared" si="10"/>
        <v>2295</v>
      </c>
      <c r="BB87" s="141"/>
      <c r="BC87" s="141"/>
      <c r="BD87" s="141"/>
      <c r="BE87" s="141"/>
      <c r="BF87" s="141"/>
      <c r="BG87" s="141"/>
      <c r="BH87" s="141"/>
      <c r="BI87" s="142"/>
      <c r="BJ87" s="143"/>
      <c r="BK87" s="143"/>
      <c r="BL87" s="143"/>
      <c r="BM87" s="143"/>
      <c r="BN87" s="143"/>
      <c r="IR87" s="9">
        <f t="shared" si="11"/>
        <v>0</v>
      </c>
      <c r="IS87" s="9">
        <f t="shared" si="12"/>
        <v>51</v>
      </c>
    </row>
    <row r="88" spans="1:253">
      <c r="A88" s="142" t="s">
        <v>74</v>
      </c>
      <c r="B88" s="143"/>
      <c r="C88" s="142" t="s">
        <v>291</v>
      </c>
      <c r="D88" s="143"/>
      <c r="E88" s="143"/>
      <c r="F88" s="143"/>
      <c r="G88" s="143"/>
      <c r="H88" s="143"/>
      <c r="I88" s="142" t="s">
        <v>487</v>
      </c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  <c r="AF88" s="143"/>
      <c r="AG88" s="143"/>
      <c r="AH88" s="143"/>
      <c r="AI88" s="143"/>
      <c r="AJ88" s="143"/>
      <c r="AK88" s="143"/>
      <c r="AL88" s="142" t="s">
        <v>642</v>
      </c>
      <c r="AM88" s="143"/>
      <c r="AN88" s="140">
        <v>20</v>
      </c>
      <c r="AO88" s="141"/>
      <c r="AP88" s="141"/>
      <c r="AQ88" s="141"/>
      <c r="AR88" s="141"/>
      <c r="AS88" s="140">
        <v>53</v>
      </c>
      <c r="AT88" s="141"/>
      <c r="AU88" s="141"/>
      <c r="AV88" s="141"/>
      <c r="AW88" s="141"/>
      <c r="AX88" s="141"/>
      <c r="AY88" s="141"/>
      <c r="AZ88" s="141"/>
      <c r="BA88" s="140">
        <f t="shared" si="10"/>
        <v>1060</v>
      </c>
      <c r="BB88" s="141"/>
      <c r="BC88" s="141"/>
      <c r="BD88" s="141"/>
      <c r="BE88" s="141"/>
      <c r="BF88" s="141"/>
      <c r="BG88" s="141"/>
      <c r="BH88" s="141"/>
      <c r="BI88" s="142"/>
      <c r="BJ88" s="143"/>
      <c r="BK88" s="143"/>
      <c r="BL88" s="143"/>
      <c r="BM88" s="143"/>
      <c r="BN88" s="143"/>
      <c r="IR88" s="9">
        <f t="shared" si="11"/>
        <v>0</v>
      </c>
      <c r="IS88" s="9">
        <f t="shared" si="12"/>
        <v>53</v>
      </c>
    </row>
    <row r="89" spans="1:253">
      <c r="A89" s="142" t="s">
        <v>75</v>
      </c>
      <c r="B89" s="143"/>
      <c r="C89" s="142" t="s">
        <v>292</v>
      </c>
      <c r="D89" s="143"/>
      <c r="E89" s="143"/>
      <c r="F89" s="143"/>
      <c r="G89" s="143"/>
      <c r="H89" s="143"/>
      <c r="I89" s="142" t="s">
        <v>488</v>
      </c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143"/>
      <c r="AK89" s="143"/>
      <c r="AL89" s="142" t="s">
        <v>642</v>
      </c>
      <c r="AM89" s="143"/>
      <c r="AN89" s="140">
        <v>20</v>
      </c>
      <c r="AO89" s="141"/>
      <c r="AP89" s="141"/>
      <c r="AQ89" s="141"/>
      <c r="AR89" s="141"/>
      <c r="AS89" s="140">
        <v>55</v>
      </c>
      <c r="AT89" s="141"/>
      <c r="AU89" s="141"/>
      <c r="AV89" s="141"/>
      <c r="AW89" s="141"/>
      <c r="AX89" s="141"/>
      <c r="AY89" s="141"/>
      <c r="AZ89" s="141"/>
      <c r="BA89" s="140">
        <f t="shared" si="10"/>
        <v>1100</v>
      </c>
      <c r="BB89" s="141"/>
      <c r="BC89" s="141"/>
      <c r="BD89" s="141"/>
      <c r="BE89" s="141"/>
      <c r="BF89" s="141"/>
      <c r="BG89" s="141"/>
      <c r="BH89" s="141"/>
      <c r="BI89" s="142"/>
      <c r="BJ89" s="143"/>
      <c r="BK89" s="143"/>
      <c r="BL89" s="143"/>
      <c r="BM89" s="143"/>
      <c r="BN89" s="143"/>
      <c r="IR89" s="9">
        <f t="shared" si="11"/>
        <v>0</v>
      </c>
      <c r="IS89" s="9">
        <f t="shared" si="12"/>
        <v>55</v>
      </c>
    </row>
    <row r="90" spans="1:253">
      <c r="A90" s="142" t="s">
        <v>76</v>
      </c>
      <c r="B90" s="143"/>
      <c r="C90" s="142" t="s">
        <v>293</v>
      </c>
      <c r="D90" s="143"/>
      <c r="E90" s="143"/>
      <c r="F90" s="143"/>
      <c r="G90" s="143"/>
      <c r="H90" s="143"/>
      <c r="I90" s="142" t="s">
        <v>489</v>
      </c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F90" s="143"/>
      <c r="AG90" s="143"/>
      <c r="AH90" s="143"/>
      <c r="AI90" s="143"/>
      <c r="AJ90" s="143"/>
      <c r="AK90" s="143"/>
      <c r="AL90" s="142" t="s">
        <v>642</v>
      </c>
      <c r="AM90" s="143"/>
      <c r="AN90" s="140">
        <v>30</v>
      </c>
      <c r="AO90" s="141"/>
      <c r="AP90" s="141"/>
      <c r="AQ90" s="141"/>
      <c r="AR90" s="141"/>
      <c r="AS90" s="140">
        <v>52</v>
      </c>
      <c r="AT90" s="141"/>
      <c r="AU90" s="141"/>
      <c r="AV90" s="141"/>
      <c r="AW90" s="141"/>
      <c r="AX90" s="141"/>
      <c r="AY90" s="141"/>
      <c r="AZ90" s="141"/>
      <c r="BA90" s="140">
        <f t="shared" si="10"/>
        <v>1560</v>
      </c>
      <c r="BB90" s="141"/>
      <c r="BC90" s="141"/>
      <c r="BD90" s="141"/>
      <c r="BE90" s="141"/>
      <c r="BF90" s="141"/>
      <c r="BG90" s="141"/>
      <c r="BH90" s="141"/>
      <c r="BI90" s="142"/>
      <c r="BJ90" s="143"/>
      <c r="BK90" s="143"/>
      <c r="BL90" s="143"/>
      <c r="BM90" s="143"/>
      <c r="BN90" s="143"/>
      <c r="IR90" s="9">
        <f t="shared" si="11"/>
        <v>0</v>
      </c>
      <c r="IS90" s="9">
        <f t="shared" si="12"/>
        <v>52</v>
      </c>
    </row>
    <row r="91" spans="1:253">
      <c r="A91" s="142" t="s">
        <v>77</v>
      </c>
      <c r="B91" s="143"/>
      <c r="C91" s="142" t="s">
        <v>294</v>
      </c>
      <c r="D91" s="143"/>
      <c r="E91" s="143"/>
      <c r="F91" s="143"/>
      <c r="G91" s="143"/>
      <c r="H91" s="143"/>
      <c r="I91" s="142" t="s">
        <v>490</v>
      </c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  <c r="AF91" s="143"/>
      <c r="AG91" s="143"/>
      <c r="AH91" s="143"/>
      <c r="AI91" s="143"/>
      <c r="AJ91" s="143"/>
      <c r="AK91" s="143"/>
      <c r="AL91" s="142" t="s">
        <v>642</v>
      </c>
      <c r="AM91" s="143"/>
      <c r="AN91" s="140">
        <v>10</v>
      </c>
      <c r="AO91" s="141"/>
      <c r="AP91" s="141"/>
      <c r="AQ91" s="141"/>
      <c r="AR91" s="141"/>
      <c r="AS91" s="140">
        <v>47</v>
      </c>
      <c r="AT91" s="141"/>
      <c r="AU91" s="141"/>
      <c r="AV91" s="141"/>
      <c r="AW91" s="141"/>
      <c r="AX91" s="141"/>
      <c r="AY91" s="141"/>
      <c r="AZ91" s="141"/>
      <c r="BA91" s="140">
        <f t="shared" si="10"/>
        <v>470</v>
      </c>
      <c r="BB91" s="141"/>
      <c r="BC91" s="141"/>
      <c r="BD91" s="141"/>
      <c r="BE91" s="141"/>
      <c r="BF91" s="141"/>
      <c r="BG91" s="141"/>
      <c r="BH91" s="141"/>
      <c r="BI91" s="142"/>
      <c r="BJ91" s="143"/>
      <c r="BK91" s="143"/>
      <c r="BL91" s="143"/>
      <c r="BM91" s="143"/>
      <c r="BN91" s="143"/>
      <c r="IR91" s="9">
        <f t="shared" si="11"/>
        <v>0</v>
      </c>
      <c r="IS91" s="9">
        <f t="shared" si="12"/>
        <v>47</v>
      </c>
    </row>
    <row r="92" spans="1:253">
      <c r="A92" s="142" t="s">
        <v>78</v>
      </c>
      <c r="B92" s="143"/>
      <c r="C92" s="142" t="s">
        <v>295</v>
      </c>
      <c r="D92" s="143"/>
      <c r="E92" s="143"/>
      <c r="F92" s="143"/>
      <c r="G92" s="143"/>
      <c r="H92" s="143"/>
      <c r="I92" s="142" t="s">
        <v>491</v>
      </c>
      <c r="J92" s="143"/>
      <c r="K92" s="143"/>
      <c r="L92" s="143"/>
      <c r="M92" s="143"/>
      <c r="N92" s="143"/>
      <c r="O92" s="143"/>
      <c r="P92" s="143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3"/>
      <c r="AC92" s="143"/>
      <c r="AD92" s="143"/>
      <c r="AE92" s="143"/>
      <c r="AF92" s="143"/>
      <c r="AG92" s="143"/>
      <c r="AH92" s="143"/>
      <c r="AI92" s="143"/>
      <c r="AJ92" s="143"/>
      <c r="AK92" s="143"/>
      <c r="AL92" s="142" t="s">
        <v>642</v>
      </c>
      <c r="AM92" s="143"/>
      <c r="AN92" s="140">
        <v>50</v>
      </c>
      <c r="AO92" s="141"/>
      <c r="AP92" s="141"/>
      <c r="AQ92" s="141"/>
      <c r="AR92" s="141"/>
      <c r="AS92" s="140">
        <v>55</v>
      </c>
      <c r="AT92" s="141"/>
      <c r="AU92" s="141"/>
      <c r="AV92" s="141"/>
      <c r="AW92" s="141"/>
      <c r="AX92" s="141"/>
      <c r="AY92" s="141"/>
      <c r="AZ92" s="141"/>
      <c r="BA92" s="140">
        <f t="shared" si="10"/>
        <v>2750</v>
      </c>
      <c r="BB92" s="141"/>
      <c r="BC92" s="141"/>
      <c r="BD92" s="141"/>
      <c r="BE92" s="141"/>
      <c r="BF92" s="141"/>
      <c r="BG92" s="141"/>
      <c r="BH92" s="141"/>
      <c r="BI92" s="142"/>
      <c r="BJ92" s="143"/>
      <c r="BK92" s="143"/>
      <c r="BL92" s="143"/>
      <c r="BM92" s="143"/>
      <c r="BN92" s="143"/>
      <c r="IR92" s="9">
        <f t="shared" si="11"/>
        <v>0</v>
      </c>
      <c r="IS92" s="9">
        <f t="shared" si="12"/>
        <v>55</v>
      </c>
    </row>
    <row r="93" spans="1:253">
      <c r="A93" s="142" t="s">
        <v>79</v>
      </c>
      <c r="B93" s="143"/>
      <c r="C93" s="142" t="s">
        <v>296</v>
      </c>
      <c r="D93" s="143"/>
      <c r="E93" s="143"/>
      <c r="F93" s="143"/>
      <c r="G93" s="143"/>
      <c r="H93" s="143"/>
      <c r="I93" s="142" t="s">
        <v>492</v>
      </c>
      <c r="J93" s="143"/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  <c r="AF93" s="143"/>
      <c r="AG93" s="143"/>
      <c r="AH93" s="143"/>
      <c r="AI93" s="143"/>
      <c r="AJ93" s="143"/>
      <c r="AK93" s="143"/>
      <c r="AL93" s="142" t="s">
        <v>642</v>
      </c>
      <c r="AM93" s="143"/>
      <c r="AN93" s="140">
        <v>40</v>
      </c>
      <c r="AO93" s="141"/>
      <c r="AP93" s="141"/>
      <c r="AQ93" s="141"/>
      <c r="AR93" s="141"/>
      <c r="AS93" s="140">
        <v>49</v>
      </c>
      <c r="AT93" s="141"/>
      <c r="AU93" s="141"/>
      <c r="AV93" s="141"/>
      <c r="AW93" s="141"/>
      <c r="AX93" s="141"/>
      <c r="AY93" s="141"/>
      <c r="AZ93" s="141"/>
      <c r="BA93" s="140">
        <f t="shared" si="10"/>
        <v>1960</v>
      </c>
      <c r="BB93" s="141"/>
      <c r="BC93" s="141"/>
      <c r="BD93" s="141"/>
      <c r="BE93" s="141"/>
      <c r="BF93" s="141"/>
      <c r="BG93" s="141"/>
      <c r="BH93" s="141"/>
      <c r="BI93" s="142"/>
      <c r="BJ93" s="143"/>
      <c r="BK93" s="143"/>
      <c r="BL93" s="143"/>
      <c r="BM93" s="143"/>
      <c r="BN93" s="143"/>
      <c r="IR93" s="9">
        <f t="shared" si="11"/>
        <v>0</v>
      </c>
      <c r="IS93" s="9">
        <f t="shared" si="12"/>
        <v>49</v>
      </c>
    </row>
    <row r="94" spans="1:253">
      <c r="A94" s="142" t="s">
        <v>80</v>
      </c>
      <c r="B94" s="143"/>
      <c r="C94" s="142" t="s">
        <v>297</v>
      </c>
      <c r="D94" s="143"/>
      <c r="E94" s="143"/>
      <c r="F94" s="143"/>
      <c r="G94" s="143"/>
      <c r="H94" s="143"/>
      <c r="I94" s="142" t="s">
        <v>493</v>
      </c>
      <c r="J94" s="143"/>
      <c r="K94" s="143"/>
      <c r="L94" s="143"/>
      <c r="M94" s="143"/>
      <c r="N94" s="143"/>
      <c r="O94" s="143"/>
      <c r="P94" s="143"/>
      <c r="Q94" s="143"/>
      <c r="R94" s="143"/>
      <c r="S94" s="143"/>
      <c r="T94" s="143"/>
      <c r="U94" s="143"/>
      <c r="V94" s="143"/>
      <c r="W94" s="143"/>
      <c r="X94" s="143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3"/>
      <c r="AK94" s="143"/>
      <c r="AL94" s="142" t="s">
        <v>642</v>
      </c>
      <c r="AM94" s="143"/>
      <c r="AN94" s="140">
        <v>3</v>
      </c>
      <c r="AO94" s="141"/>
      <c r="AP94" s="141"/>
      <c r="AQ94" s="141"/>
      <c r="AR94" s="141"/>
      <c r="AS94" s="140">
        <v>270</v>
      </c>
      <c r="AT94" s="141"/>
      <c r="AU94" s="141"/>
      <c r="AV94" s="141"/>
      <c r="AW94" s="141"/>
      <c r="AX94" s="141"/>
      <c r="AY94" s="141"/>
      <c r="AZ94" s="141"/>
      <c r="BA94" s="140">
        <f t="shared" ref="BA94:BA115" si="13">IR94*AN94+IS94*AN94</f>
        <v>810</v>
      </c>
      <c r="BB94" s="141"/>
      <c r="BC94" s="141"/>
      <c r="BD94" s="141"/>
      <c r="BE94" s="141"/>
      <c r="BF94" s="141"/>
      <c r="BG94" s="141"/>
      <c r="BH94" s="141"/>
      <c r="BI94" s="142"/>
      <c r="BJ94" s="143"/>
      <c r="BK94" s="143"/>
      <c r="BL94" s="143"/>
      <c r="BM94" s="143"/>
      <c r="BN94" s="143"/>
      <c r="IR94" s="9">
        <f t="shared" si="11"/>
        <v>0</v>
      </c>
      <c r="IS94" s="9">
        <f t="shared" si="12"/>
        <v>270</v>
      </c>
    </row>
    <row r="95" spans="1:253">
      <c r="A95" s="142" t="s">
        <v>81</v>
      </c>
      <c r="B95" s="143"/>
      <c r="C95" s="142" t="s">
        <v>298</v>
      </c>
      <c r="D95" s="143"/>
      <c r="E95" s="143"/>
      <c r="F95" s="143"/>
      <c r="G95" s="143"/>
      <c r="H95" s="143"/>
      <c r="I95" s="142" t="s">
        <v>494</v>
      </c>
      <c r="J95" s="143"/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3"/>
      <c r="AC95" s="143"/>
      <c r="AD95" s="143"/>
      <c r="AE95" s="143"/>
      <c r="AF95" s="143"/>
      <c r="AG95" s="143"/>
      <c r="AH95" s="143"/>
      <c r="AI95" s="143"/>
      <c r="AJ95" s="143"/>
      <c r="AK95" s="143"/>
      <c r="AL95" s="142" t="s">
        <v>642</v>
      </c>
      <c r="AM95" s="143"/>
      <c r="AN95" s="140">
        <v>50</v>
      </c>
      <c r="AO95" s="141"/>
      <c r="AP95" s="141"/>
      <c r="AQ95" s="141"/>
      <c r="AR95" s="141"/>
      <c r="AS95" s="140">
        <v>48</v>
      </c>
      <c r="AT95" s="141"/>
      <c r="AU95" s="141"/>
      <c r="AV95" s="141"/>
      <c r="AW95" s="141"/>
      <c r="AX95" s="141"/>
      <c r="AY95" s="141"/>
      <c r="AZ95" s="141"/>
      <c r="BA95" s="140">
        <f t="shared" si="13"/>
        <v>2400</v>
      </c>
      <c r="BB95" s="141"/>
      <c r="BC95" s="141"/>
      <c r="BD95" s="141"/>
      <c r="BE95" s="141"/>
      <c r="BF95" s="141"/>
      <c r="BG95" s="141"/>
      <c r="BH95" s="141"/>
      <c r="BI95" s="142"/>
      <c r="BJ95" s="143"/>
      <c r="BK95" s="143"/>
      <c r="BL95" s="143"/>
      <c r="BM95" s="143"/>
      <c r="BN95" s="143"/>
      <c r="IR95" s="9">
        <f t="shared" si="11"/>
        <v>0</v>
      </c>
      <c r="IS95" s="9">
        <f t="shared" si="12"/>
        <v>48</v>
      </c>
    </row>
    <row r="96" spans="1:253">
      <c r="A96" s="142" t="s">
        <v>82</v>
      </c>
      <c r="B96" s="143"/>
      <c r="C96" s="142" t="s">
        <v>299</v>
      </c>
      <c r="D96" s="143"/>
      <c r="E96" s="143"/>
      <c r="F96" s="143"/>
      <c r="G96" s="143"/>
      <c r="H96" s="143"/>
      <c r="I96" s="142" t="s">
        <v>495</v>
      </c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2" t="s">
        <v>642</v>
      </c>
      <c r="AM96" s="143"/>
      <c r="AN96" s="140">
        <v>30</v>
      </c>
      <c r="AO96" s="141"/>
      <c r="AP96" s="141"/>
      <c r="AQ96" s="141"/>
      <c r="AR96" s="141"/>
      <c r="AS96" s="140">
        <v>56</v>
      </c>
      <c r="AT96" s="141"/>
      <c r="AU96" s="141"/>
      <c r="AV96" s="141"/>
      <c r="AW96" s="141"/>
      <c r="AX96" s="141"/>
      <c r="AY96" s="141"/>
      <c r="AZ96" s="141"/>
      <c r="BA96" s="140">
        <f t="shared" si="13"/>
        <v>1680</v>
      </c>
      <c r="BB96" s="141"/>
      <c r="BC96" s="141"/>
      <c r="BD96" s="141"/>
      <c r="BE96" s="141"/>
      <c r="BF96" s="141"/>
      <c r="BG96" s="141"/>
      <c r="BH96" s="141"/>
      <c r="BI96" s="142"/>
      <c r="BJ96" s="143"/>
      <c r="BK96" s="143"/>
      <c r="BL96" s="143"/>
      <c r="BM96" s="143"/>
      <c r="BN96" s="143"/>
      <c r="IR96" s="9">
        <f t="shared" si="11"/>
        <v>0</v>
      </c>
      <c r="IS96" s="9">
        <f t="shared" si="12"/>
        <v>56</v>
      </c>
    </row>
    <row r="97" spans="1:253">
      <c r="A97" s="142" t="s">
        <v>83</v>
      </c>
      <c r="B97" s="143"/>
      <c r="C97" s="142" t="s">
        <v>300</v>
      </c>
      <c r="D97" s="143"/>
      <c r="E97" s="143"/>
      <c r="F97" s="143"/>
      <c r="G97" s="143"/>
      <c r="H97" s="143"/>
      <c r="I97" s="142" t="s">
        <v>496</v>
      </c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2" t="s">
        <v>642</v>
      </c>
      <c r="AM97" s="143"/>
      <c r="AN97" s="140">
        <v>100</v>
      </c>
      <c r="AO97" s="141"/>
      <c r="AP97" s="141"/>
      <c r="AQ97" s="141"/>
      <c r="AR97" s="141"/>
      <c r="AS97" s="140">
        <v>63</v>
      </c>
      <c r="AT97" s="141"/>
      <c r="AU97" s="141"/>
      <c r="AV97" s="141"/>
      <c r="AW97" s="141"/>
      <c r="AX97" s="141"/>
      <c r="AY97" s="141"/>
      <c r="AZ97" s="141"/>
      <c r="BA97" s="140">
        <f t="shared" si="13"/>
        <v>6300</v>
      </c>
      <c r="BB97" s="141"/>
      <c r="BC97" s="141"/>
      <c r="BD97" s="141"/>
      <c r="BE97" s="141"/>
      <c r="BF97" s="141"/>
      <c r="BG97" s="141"/>
      <c r="BH97" s="141"/>
      <c r="BI97" s="142"/>
      <c r="BJ97" s="143"/>
      <c r="BK97" s="143"/>
      <c r="BL97" s="143"/>
      <c r="BM97" s="143"/>
      <c r="BN97" s="143"/>
      <c r="IR97" s="9">
        <f t="shared" si="11"/>
        <v>0</v>
      </c>
      <c r="IS97" s="9">
        <f t="shared" si="12"/>
        <v>63</v>
      </c>
    </row>
    <row r="98" spans="1:253">
      <c r="A98" s="142" t="s">
        <v>84</v>
      </c>
      <c r="B98" s="143"/>
      <c r="C98" s="142" t="s">
        <v>301</v>
      </c>
      <c r="D98" s="143"/>
      <c r="E98" s="143"/>
      <c r="F98" s="143"/>
      <c r="G98" s="143"/>
      <c r="H98" s="143"/>
      <c r="I98" s="142" t="s">
        <v>497</v>
      </c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C98" s="143"/>
      <c r="AD98" s="143"/>
      <c r="AE98" s="143"/>
      <c r="AF98" s="143"/>
      <c r="AG98" s="143"/>
      <c r="AH98" s="143"/>
      <c r="AI98" s="143"/>
      <c r="AJ98" s="143"/>
      <c r="AK98" s="143"/>
      <c r="AL98" s="142" t="s">
        <v>642</v>
      </c>
      <c r="AM98" s="143"/>
      <c r="AN98" s="140">
        <v>45</v>
      </c>
      <c r="AO98" s="141"/>
      <c r="AP98" s="141"/>
      <c r="AQ98" s="141"/>
      <c r="AR98" s="141"/>
      <c r="AS98" s="140">
        <v>48</v>
      </c>
      <c r="AT98" s="141"/>
      <c r="AU98" s="141"/>
      <c r="AV98" s="141"/>
      <c r="AW98" s="141"/>
      <c r="AX98" s="141"/>
      <c r="AY98" s="141"/>
      <c r="AZ98" s="141"/>
      <c r="BA98" s="140">
        <f t="shared" si="13"/>
        <v>2160</v>
      </c>
      <c r="BB98" s="141"/>
      <c r="BC98" s="141"/>
      <c r="BD98" s="141"/>
      <c r="BE98" s="141"/>
      <c r="BF98" s="141"/>
      <c r="BG98" s="141"/>
      <c r="BH98" s="141"/>
      <c r="BI98" s="142"/>
      <c r="BJ98" s="143"/>
      <c r="BK98" s="143"/>
      <c r="BL98" s="143"/>
      <c r="BM98" s="143"/>
      <c r="BN98" s="143"/>
      <c r="IR98" s="9">
        <f t="shared" si="11"/>
        <v>0</v>
      </c>
      <c r="IS98" s="9">
        <f t="shared" si="12"/>
        <v>48</v>
      </c>
    </row>
    <row r="99" spans="1:253">
      <c r="A99" s="142" t="s">
        <v>85</v>
      </c>
      <c r="B99" s="143"/>
      <c r="C99" s="142" t="s">
        <v>302</v>
      </c>
      <c r="D99" s="143"/>
      <c r="E99" s="143"/>
      <c r="F99" s="143"/>
      <c r="G99" s="143"/>
      <c r="H99" s="143"/>
      <c r="I99" s="142" t="s">
        <v>498</v>
      </c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2" t="s">
        <v>642</v>
      </c>
      <c r="AM99" s="143"/>
      <c r="AN99" s="140">
        <v>45</v>
      </c>
      <c r="AO99" s="141"/>
      <c r="AP99" s="141"/>
      <c r="AQ99" s="141"/>
      <c r="AR99" s="141"/>
      <c r="AS99" s="140">
        <v>83</v>
      </c>
      <c r="AT99" s="141"/>
      <c r="AU99" s="141"/>
      <c r="AV99" s="141"/>
      <c r="AW99" s="141"/>
      <c r="AX99" s="141"/>
      <c r="AY99" s="141"/>
      <c r="AZ99" s="141"/>
      <c r="BA99" s="140">
        <f t="shared" si="13"/>
        <v>3735</v>
      </c>
      <c r="BB99" s="141"/>
      <c r="BC99" s="141"/>
      <c r="BD99" s="141"/>
      <c r="BE99" s="141"/>
      <c r="BF99" s="141"/>
      <c r="BG99" s="141"/>
      <c r="BH99" s="141"/>
      <c r="BI99" s="142"/>
      <c r="BJ99" s="143"/>
      <c r="BK99" s="143"/>
      <c r="BL99" s="143"/>
      <c r="BM99" s="143"/>
      <c r="BN99" s="143"/>
      <c r="IR99" s="9">
        <f t="shared" si="11"/>
        <v>0</v>
      </c>
      <c r="IS99" s="9">
        <f t="shared" si="12"/>
        <v>83</v>
      </c>
    </row>
    <row r="100" spans="1:253">
      <c r="A100" s="142" t="s">
        <v>86</v>
      </c>
      <c r="B100" s="143"/>
      <c r="C100" s="142" t="s">
        <v>303</v>
      </c>
      <c r="D100" s="143"/>
      <c r="E100" s="143"/>
      <c r="F100" s="143"/>
      <c r="G100" s="143"/>
      <c r="H100" s="143"/>
      <c r="I100" s="142" t="s">
        <v>499</v>
      </c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2" t="s">
        <v>642</v>
      </c>
      <c r="AM100" s="143"/>
      <c r="AN100" s="140">
        <v>10</v>
      </c>
      <c r="AO100" s="141"/>
      <c r="AP100" s="141"/>
      <c r="AQ100" s="141"/>
      <c r="AR100" s="141"/>
      <c r="AS100" s="140">
        <v>63</v>
      </c>
      <c r="AT100" s="141"/>
      <c r="AU100" s="141"/>
      <c r="AV100" s="141"/>
      <c r="AW100" s="141"/>
      <c r="AX100" s="141"/>
      <c r="AY100" s="141"/>
      <c r="AZ100" s="141"/>
      <c r="BA100" s="140">
        <f t="shared" si="13"/>
        <v>630</v>
      </c>
      <c r="BB100" s="141"/>
      <c r="BC100" s="141"/>
      <c r="BD100" s="141"/>
      <c r="BE100" s="141"/>
      <c r="BF100" s="141"/>
      <c r="BG100" s="141"/>
      <c r="BH100" s="141"/>
      <c r="BI100" s="142"/>
      <c r="BJ100" s="143"/>
      <c r="BK100" s="143"/>
      <c r="BL100" s="143"/>
      <c r="BM100" s="143"/>
      <c r="BN100" s="143"/>
      <c r="IR100" s="9">
        <f t="shared" si="11"/>
        <v>0</v>
      </c>
      <c r="IS100" s="9">
        <f t="shared" si="12"/>
        <v>63</v>
      </c>
    </row>
    <row r="101" spans="1:253">
      <c r="A101" s="142" t="s">
        <v>87</v>
      </c>
      <c r="B101" s="143"/>
      <c r="C101" s="142" t="s">
        <v>304</v>
      </c>
      <c r="D101" s="143"/>
      <c r="E101" s="143"/>
      <c r="F101" s="143"/>
      <c r="G101" s="143"/>
      <c r="H101" s="143"/>
      <c r="I101" s="142" t="s">
        <v>500</v>
      </c>
      <c r="J101" s="143"/>
      <c r="K101" s="143"/>
      <c r="L101" s="143"/>
      <c r="M101" s="143"/>
      <c r="N101" s="143"/>
      <c r="O101" s="143"/>
      <c r="P101" s="143"/>
      <c r="Q101" s="143"/>
      <c r="R101" s="143"/>
      <c r="S101" s="143"/>
      <c r="T101" s="143"/>
      <c r="U101" s="143"/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2" t="s">
        <v>642</v>
      </c>
      <c r="AM101" s="143"/>
      <c r="AN101" s="140">
        <v>5</v>
      </c>
      <c r="AO101" s="141"/>
      <c r="AP101" s="141"/>
      <c r="AQ101" s="141"/>
      <c r="AR101" s="141"/>
      <c r="AS101" s="140">
        <v>85</v>
      </c>
      <c r="AT101" s="141"/>
      <c r="AU101" s="141"/>
      <c r="AV101" s="141"/>
      <c r="AW101" s="141"/>
      <c r="AX101" s="141"/>
      <c r="AY101" s="141"/>
      <c r="AZ101" s="141"/>
      <c r="BA101" s="140">
        <f t="shared" si="13"/>
        <v>425</v>
      </c>
      <c r="BB101" s="141"/>
      <c r="BC101" s="141"/>
      <c r="BD101" s="141"/>
      <c r="BE101" s="141"/>
      <c r="BF101" s="141"/>
      <c r="BG101" s="141"/>
      <c r="BH101" s="141"/>
      <c r="BI101" s="142"/>
      <c r="BJ101" s="143"/>
      <c r="BK101" s="143"/>
      <c r="BL101" s="143"/>
      <c r="BM101" s="143"/>
      <c r="BN101" s="143"/>
      <c r="IR101" s="9">
        <f t="shared" si="11"/>
        <v>0</v>
      </c>
      <c r="IS101" s="9">
        <f t="shared" si="12"/>
        <v>85</v>
      </c>
    </row>
    <row r="102" spans="1:253">
      <c r="A102" s="142" t="s">
        <v>88</v>
      </c>
      <c r="B102" s="143"/>
      <c r="C102" s="142" t="s">
        <v>305</v>
      </c>
      <c r="D102" s="143"/>
      <c r="E102" s="143"/>
      <c r="F102" s="143"/>
      <c r="G102" s="143"/>
      <c r="H102" s="143"/>
      <c r="I102" s="142" t="s">
        <v>501</v>
      </c>
      <c r="J102" s="143"/>
      <c r="K102" s="143"/>
      <c r="L102" s="143"/>
      <c r="M102" s="143"/>
      <c r="N102" s="143"/>
      <c r="O102" s="143"/>
      <c r="P102" s="143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2" t="s">
        <v>642</v>
      </c>
      <c r="AM102" s="143"/>
      <c r="AN102" s="140">
        <v>20</v>
      </c>
      <c r="AO102" s="141"/>
      <c r="AP102" s="141"/>
      <c r="AQ102" s="141"/>
      <c r="AR102" s="141"/>
      <c r="AS102" s="140">
        <v>49</v>
      </c>
      <c r="AT102" s="141"/>
      <c r="AU102" s="141"/>
      <c r="AV102" s="141"/>
      <c r="AW102" s="141"/>
      <c r="AX102" s="141"/>
      <c r="AY102" s="141"/>
      <c r="AZ102" s="141"/>
      <c r="BA102" s="140">
        <f t="shared" si="13"/>
        <v>980</v>
      </c>
      <c r="BB102" s="141"/>
      <c r="BC102" s="141"/>
      <c r="BD102" s="141"/>
      <c r="BE102" s="141"/>
      <c r="BF102" s="141"/>
      <c r="BG102" s="141"/>
      <c r="BH102" s="141"/>
      <c r="BI102" s="142"/>
      <c r="BJ102" s="143"/>
      <c r="BK102" s="143"/>
      <c r="BL102" s="143"/>
      <c r="BM102" s="143"/>
      <c r="BN102" s="143"/>
      <c r="IR102" s="9">
        <f t="shared" si="11"/>
        <v>0</v>
      </c>
      <c r="IS102" s="9">
        <f t="shared" si="12"/>
        <v>49</v>
      </c>
    </row>
    <row r="103" spans="1:253">
      <c r="A103" s="142" t="s">
        <v>89</v>
      </c>
      <c r="B103" s="143"/>
      <c r="C103" s="142" t="s">
        <v>306</v>
      </c>
      <c r="D103" s="143"/>
      <c r="E103" s="143"/>
      <c r="F103" s="143"/>
      <c r="G103" s="143"/>
      <c r="H103" s="143"/>
      <c r="I103" s="142" t="s">
        <v>502</v>
      </c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2" t="s">
        <v>642</v>
      </c>
      <c r="AM103" s="143"/>
      <c r="AN103" s="140">
        <v>20</v>
      </c>
      <c r="AO103" s="141"/>
      <c r="AP103" s="141"/>
      <c r="AQ103" s="141"/>
      <c r="AR103" s="141"/>
      <c r="AS103" s="140">
        <v>49</v>
      </c>
      <c r="AT103" s="141"/>
      <c r="AU103" s="141"/>
      <c r="AV103" s="141"/>
      <c r="AW103" s="141"/>
      <c r="AX103" s="141"/>
      <c r="AY103" s="141"/>
      <c r="AZ103" s="141"/>
      <c r="BA103" s="140">
        <f t="shared" si="13"/>
        <v>980</v>
      </c>
      <c r="BB103" s="141"/>
      <c r="BC103" s="141"/>
      <c r="BD103" s="141"/>
      <c r="BE103" s="141"/>
      <c r="BF103" s="141"/>
      <c r="BG103" s="141"/>
      <c r="BH103" s="141"/>
      <c r="BI103" s="142"/>
      <c r="BJ103" s="143"/>
      <c r="BK103" s="143"/>
      <c r="BL103" s="143"/>
      <c r="BM103" s="143"/>
      <c r="BN103" s="143"/>
      <c r="IR103" s="9">
        <f t="shared" si="11"/>
        <v>0</v>
      </c>
      <c r="IS103" s="9">
        <f t="shared" si="12"/>
        <v>49</v>
      </c>
    </row>
    <row r="104" spans="1:253">
      <c r="A104" s="142" t="s">
        <v>90</v>
      </c>
      <c r="B104" s="143"/>
      <c r="C104" s="142" t="s">
        <v>307</v>
      </c>
      <c r="D104" s="143"/>
      <c r="E104" s="143"/>
      <c r="F104" s="143"/>
      <c r="G104" s="143"/>
      <c r="H104" s="143"/>
      <c r="I104" s="142" t="s">
        <v>503</v>
      </c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2" t="s">
        <v>642</v>
      </c>
      <c r="AM104" s="143"/>
      <c r="AN104" s="140">
        <v>30</v>
      </c>
      <c r="AO104" s="141"/>
      <c r="AP104" s="141"/>
      <c r="AQ104" s="141"/>
      <c r="AR104" s="141"/>
      <c r="AS104" s="140">
        <v>56</v>
      </c>
      <c r="AT104" s="141"/>
      <c r="AU104" s="141"/>
      <c r="AV104" s="141"/>
      <c r="AW104" s="141"/>
      <c r="AX104" s="141"/>
      <c r="AY104" s="141"/>
      <c r="AZ104" s="141"/>
      <c r="BA104" s="140">
        <f t="shared" si="13"/>
        <v>1680</v>
      </c>
      <c r="BB104" s="141"/>
      <c r="BC104" s="141"/>
      <c r="BD104" s="141"/>
      <c r="BE104" s="141"/>
      <c r="BF104" s="141"/>
      <c r="BG104" s="141"/>
      <c r="BH104" s="141"/>
      <c r="BI104" s="142"/>
      <c r="BJ104" s="143"/>
      <c r="BK104" s="143"/>
      <c r="BL104" s="143"/>
      <c r="BM104" s="143"/>
      <c r="BN104" s="143"/>
      <c r="IR104" s="9">
        <f t="shared" si="11"/>
        <v>0</v>
      </c>
      <c r="IS104" s="9">
        <f t="shared" si="12"/>
        <v>56</v>
      </c>
    </row>
    <row r="105" spans="1:253">
      <c r="A105" s="142" t="s">
        <v>91</v>
      </c>
      <c r="B105" s="143"/>
      <c r="C105" s="142" t="s">
        <v>308</v>
      </c>
      <c r="D105" s="143"/>
      <c r="E105" s="143"/>
      <c r="F105" s="143"/>
      <c r="G105" s="143"/>
      <c r="H105" s="143"/>
      <c r="I105" s="142" t="s">
        <v>504</v>
      </c>
      <c r="J105" s="143"/>
      <c r="K105" s="143"/>
      <c r="L105" s="143"/>
      <c r="M105" s="143"/>
      <c r="N105" s="143"/>
      <c r="O105" s="143"/>
      <c r="P105" s="143"/>
      <c r="Q105" s="143"/>
      <c r="R105" s="143"/>
      <c r="S105" s="143"/>
      <c r="T105" s="143"/>
      <c r="U105" s="143"/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/>
      <c r="AF105" s="143"/>
      <c r="AG105" s="143"/>
      <c r="AH105" s="143"/>
      <c r="AI105" s="143"/>
      <c r="AJ105" s="143"/>
      <c r="AK105" s="143"/>
      <c r="AL105" s="142" t="s">
        <v>642</v>
      </c>
      <c r="AM105" s="143"/>
      <c r="AN105" s="140">
        <v>20</v>
      </c>
      <c r="AO105" s="141"/>
      <c r="AP105" s="141"/>
      <c r="AQ105" s="141"/>
      <c r="AR105" s="141"/>
      <c r="AS105" s="140">
        <v>49</v>
      </c>
      <c r="AT105" s="141"/>
      <c r="AU105" s="141"/>
      <c r="AV105" s="141"/>
      <c r="AW105" s="141"/>
      <c r="AX105" s="141"/>
      <c r="AY105" s="141"/>
      <c r="AZ105" s="141"/>
      <c r="BA105" s="140">
        <f t="shared" si="13"/>
        <v>980</v>
      </c>
      <c r="BB105" s="141"/>
      <c r="BC105" s="141"/>
      <c r="BD105" s="141"/>
      <c r="BE105" s="141"/>
      <c r="BF105" s="141"/>
      <c r="BG105" s="141"/>
      <c r="BH105" s="141"/>
      <c r="BI105" s="142"/>
      <c r="BJ105" s="143"/>
      <c r="BK105" s="143"/>
      <c r="BL105" s="143"/>
      <c r="BM105" s="143"/>
      <c r="BN105" s="143"/>
      <c r="IR105" s="9">
        <f t="shared" si="11"/>
        <v>0</v>
      </c>
      <c r="IS105" s="9">
        <f t="shared" si="12"/>
        <v>49</v>
      </c>
    </row>
    <row r="106" spans="1:253">
      <c r="A106" s="142" t="s">
        <v>92</v>
      </c>
      <c r="B106" s="143"/>
      <c r="C106" s="142" t="s">
        <v>309</v>
      </c>
      <c r="D106" s="143"/>
      <c r="E106" s="143"/>
      <c r="F106" s="143"/>
      <c r="G106" s="143"/>
      <c r="H106" s="143"/>
      <c r="I106" s="142" t="s">
        <v>505</v>
      </c>
      <c r="J106" s="143"/>
      <c r="K106" s="143"/>
      <c r="L106" s="143"/>
      <c r="M106" s="143"/>
      <c r="N106" s="143"/>
      <c r="O106" s="143"/>
      <c r="P106" s="143"/>
      <c r="Q106" s="143"/>
      <c r="R106" s="143"/>
      <c r="S106" s="143"/>
      <c r="T106" s="143"/>
      <c r="U106" s="143"/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/>
      <c r="AF106" s="143"/>
      <c r="AG106" s="143"/>
      <c r="AH106" s="143"/>
      <c r="AI106" s="143"/>
      <c r="AJ106" s="143"/>
      <c r="AK106" s="143"/>
      <c r="AL106" s="142" t="s">
        <v>642</v>
      </c>
      <c r="AM106" s="143"/>
      <c r="AN106" s="140">
        <v>15</v>
      </c>
      <c r="AO106" s="141"/>
      <c r="AP106" s="141"/>
      <c r="AQ106" s="141"/>
      <c r="AR106" s="141"/>
      <c r="AS106" s="140">
        <v>52</v>
      </c>
      <c r="AT106" s="141"/>
      <c r="AU106" s="141"/>
      <c r="AV106" s="141"/>
      <c r="AW106" s="141"/>
      <c r="AX106" s="141"/>
      <c r="AY106" s="141"/>
      <c r="AZ106" s="141"/>
      <c r="BA106" s="140">
        <f t="shared" si="13"/>
        <v>780</v>
      </c>
      <c r="BB106" s="141"/>
      <c r="BC106" s="141"/>
      <c r="BD106" s="141"/>
      <c r="BE106" s="141"/>
      <c r="BF106" s="141"/>
      <c r="BG106" s="141"/>
      <c r="BH106" s="141"/>
      <c r="BI106" s="142"/>
      <c r="BJ106" s="143"/>
      <c r="BK106" s="143"/>
      <c r="BL106" s="143"/>
      <c r="BM106" s="143"/>
      <c r="BN106" s="143"/>
      <c r="IR106" s="9">
        <f t="shared" si="11"/>
        <v>0</v>
      </c>
      <c r="IS106" s="9">
        <f t="shared" si="12"/>
        <v>52</v>
      </c>
    </row>
    <row r="107" spans="1:253">
      <c r="A107" s="142" t="s">
        <v>93</v>
      </c>
      <c r="B107" s="143"/>
      <c r="C107" s="142" t="s">
        <v>310</v>
      </c>
      <c r="D107" s="143"/>
      <c r="E107" s="143"/>
      <c r="F107" s="143"/>
      <c r="G107" s="143"/>
      <c r="H107" s="143"/>
      <c r="I107" s="142" t="s">
        <v>506</v>
      </c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2" t="s">
        <v>642</v>
      </c>
      <c r="AM107" s="143"/>
      <c r="AN107" s="140">
        <v>15</v>
      </c>
      <c r="AO107" s="141"/>
      <c r="AP107" s="141"/>
      <c r="AQ107" s="141"/>
      <c r="AR107" s="141"/>
      <c r="AS107" s="140">
        <v>53</v>
      </c>
      <c r="AT107" s="141"/>
      <c r="AU107" s="141"/>
      <c r="AV107" s="141"/>
      <c r="AW107" s="141"/>
      <c r="AX107" s="141"/>
      <c r="AY107" s="141"/>
      <c r="AZ107" s="141"/>
      <c r="BA107" s="140">
        <f t="shared" si="13"/>
        <v>795</v>
      </c>
      <c r="BB107" s="141"/>
      <c r="BC107" s="141"/>
      <c r="BD107" s="141"/>
      <c r="BE107" s="141"/>
      <c r="BF107" s="141"/>
      <c r="BG107" s="141"/>
      <c r="BH107" s="141"/>
      <c r="BI107" s="142"/>
      <c r="BJ107" s="143"/>
      <c r="BK107" s="143"/>
      <c r="BL107" s="143"/>
      <c r="BM107" s="143"/>
      <c r="BN107" s="143"/>
      <c r="IR107" s="9">
        <f t="shared" si="11"/>
        <v>0</v>
      </c>
      <c r="IS107" s="9">
        <f t="shared" si="12"/>
        <v>53</v>
      </c>
    </row>
    <row r="108" spans="1:253">
      <c r="A108" s="142" t="s">
        <v>94</v>
      </c>
      <c r="B108" s="143"/>
      <c r="C108" s="142" t="s">
        <v>311</v>
      </c>
      <c r="D108" s="143"/>
      <c r="E108" s="143"/>
      <c r="F108" s="143"/>
      <c r="G108" s="143"/>
      <c r="H108" s="143"/>
      <c r="I108" s="142" t="s">
        <v>507</v>
      </c>
      <c r="J108" s="143"/>
      <c r="K108" s="143"/>
      <c r="L108" s="143"/>
      <c r="M108" s="143"/>
      <c r="N108" s="143"/>
      <c r="O108" s="143"/>
      <c r="P108" s="143"/>
      <c r="Q108" s="143"/>
      <c r="R108" s="143"/>
      <c r="S108" s="143"/>
      <c r="T108" s="143"/>
      <c r="U108" s="143"/>
      <c r="V108" s="143"/>
      <c r="W108" s="143"/>
      <c r="X108" s="143"/>
      <c r="Y108" s="143"/>
      <c r="Z108" s="143"/>
      <c r="AA108" s="143"/>
      <c r="AB108" s="143"/>
      <c r="AC108" s="143"/>
      <c r="AD108" s="143"/>
      <c r="AE108" s="143"/>
      <c r="AF108" s="143"/>
      <c r="AG108" s="143"/>
      <c r="AH108" s="143"/>
      <c r="AI108" s="143"/>
      <c r="AJ108" s="143"/>
      <c r="AK108" s="143"/>
      <c r="AL108" s="142" t="s">
        <v>642</v>
      </c>
      <c r="AM108" s="143"/>
      <c r="AN108" s="140">
        <v>15</v>
      </c>
      <c r="AO108" s="141"/>
      <c r="AP108" s="141"/>
      <c r="AQ108" s="141"/>
      <c r="AR108" s="141"/>
      <c r="AS108" s="140">
        <v>48</v>
      </c>
      <c r="AT108" s="141"/>
      <c r="AU108" s="141"/>
      <c r="AV108" s="141"/>
      <c r="AW108" s="141"/>
      <c r="AX108" s="141"/>
      <c r="AY108" s="141"/>
      <c r="AZ108" s="141"/>
      <c r="BA108" s="140">
        <f t="shared" si="13"/>
        <v>720</v>
      </c>
      <c r="BB108" s="141"/>
      <c r="BC108" s="141"/>
      <c r="BD108" s="141"/>
      <c r="BE108" s="141"/>
      <c r="BF108" s="141"/>
      <c r="BG108" s="141"/>
      <c r="BH108" s="141"/>
      <c r="BI108" s="142"/>
      <c r="BJ108" s="143"/>
      <c r="BK108" s="143"/>
      <c r="BL108" s="143"/>
      <c r="BM108" s="143"/>
      <c r="BN108" s="143"/>
      <c r="IR108" s="9">
        <f t="shared" si="11"/>
        <v>0</v>
      </c>
      <c r="IS108" s="9">
        <f t="shared" si="12"/>
        <v>48</v>
      </c>
    </row>
    <row r="109" spans="1:253">
      <c r="A109" s="142" t="s">
        <v>95</v>
      </c>
      <c r="B109" s="143"/>
      <c r="C109" s="142" t="s">
        <v>312</v>
      </c>
      <c r="D109" s="143"/>
      <c r="E109" s="143"/>
      <c r="F109" s="143"/>
      <c r="G109" s="143"/>
      <c r="H109" s="143"/>
      <c r="I109" s="142" t="s">
        <v>508</v>
      </c>
      <c r="J109" s="143"/>
      <c r="K109" s="143"/>
      <c r="L109" s="143"/>
      <c r="M109" s="143"/>
      <c r="N109" s="143"/>
      <c r="O109" s="143"/>
      <c r="P109" s="143"/>
      <c r="Q109" s="143"/>
      <c r="R109" s="143"/>
      <c r="S109" s="143"/>
      <c r="T109" s="143"/>
      <c r="U109" s="143"/>
      <c r="V109" s="143"/>
      <c r="W109" s="143"/>
      <c r="X109" s="143"/>
      <c r="Y109" s="143"/>
      <c r="Z109" s="143"/>
      <c r="AA109" s="143"/>
      <c r="AB109" s="143"/>
      <c r="AC109" s="143"/>
      <c r="AD109" s="143"/>
      <c r="AE109" s="143"/>
      <c r="AF109" s="143"/>
      <c r="AG109" s="143"/>
      <c r="AH109" s="143"/>
      <c r="AI109" s="143"/>
      <c r="AJ109" s="143"/>
      <c r="AK109" s="143"/>
      <c r="AL109" s="142" t="s">
        <v>642</v>
      </c>
      <c r="AM109" s="143"/>
      <c r="AN109" s="140">
        <v>10</v>
      </c>
      <c r="AO109" s="141"/>
      <c r="AP109" s="141"/>
      <c r="AQ109" s="141"/>
      <c r="AR109" s="141"/>
      <c r="AS109" s="140">
        <v>49</v>
      </c>
      <c r="AT109" s="141"/>
      <c r="AU109" s="141"/>
      <c r="AV109" s="141"/>
      <c r="AW109" s="141"/>
      <c r="AX109" s="141"/>
      <c r="AY109" s="141"/>
      <c r="AZ109" s="141"/>
      <c r="BA109" s="140">
        <f t="shared" si="13"/>
        <v>490</v>
      </c>
      <c r="BB109" s="141"/>
      <c r="BC109" s="141"/>
      <c r="BD109" s="141"/>
      <c r="BE109" s="141"/>
      <c r="BF109" s="141"/>
      <c r="BG109" s="141"/>
      <c r="BH109" s="141"/>
      <c r="BI109" s="142"/>
      <c r="BJ109" s="143"/>
      <c r="BK109" s="143"/>
      <c r="BL109" s="143"/>
      <c r="BM109" s="143"/>
      <c r="BN109" s="143"/>
      <c r="IR109" s="9">
        <f t="shared" si="11"/>
        <v>0</v>
      </c>
      <c r="IS109" s="9">
        <f t="shared" si="12"/>
        <v>49</v>
      </c>
    </row>
    <row r="110" spans="1:253">
      <c r="A110" s="142" t="s">
        <v>96</v>
      </c>
      <c r="B110" s="143"/>
      <c r="C110" s="142" t="s">
        <v>313</v>
      </c>
      <c r="D110" s="143"/>
      <c r="E110" s="143"/>
      <c r="F110" s="143"/>
      <c r="G110" s="143"/>
      <c r="H110" s="143"/>
      <c r="I110" s="142" t="s">
        <v>509</v>
      </c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3"/>
      <c r="Z110" s="143"/>
      <c r="AA110" s="143"/>
      <c r="AB110" s="143"/>
      <c r="AC110" s="143"/>
      <c r="AD110" s="143"/>
      <c r="AE110" s="143"/>
      <c r="AF110" s="143"/>
      <c r="AG110" s="143"/>
      <c r="AH110" s="143"/>
      <c r="AI110" s="143"/>
      <c r="AJ110" s="143"/>
      <c r="AK110" s="143"/>
      <c r="AL110" s="142" t="s">
        <v>642</v>
      </c>
      <c r="AM110" s="143"/>
      <c r="AN110" s="140">
        <v>10</v>
      </c>
      <c r="AO110" s="141"/>
      <c r="AP110" s="141"/>
      <c r="AQ110" s="141"/>
      <c r="AR110" s="141"/>
      <c r="AS110" s="140">
        <v>49</v>
      </c>
      <c r="AT110" s="141"/>
      <c r="AU110" s="141"/>
      <c r="AV110" s="141"/>
      <c r="AW110" s="141"/>
      <c r="AX110" s="141"/>
      <c r="AY110" s="141"/>
      <c r="AZ110" s="141"/>
      <c r="BA110" s="140">
        <f t="shared" si="13"/>
        <v>490</v>
      </c>
      <c r="BB110" s="141"/>
      <c r="BC110" s="141"/>
      <c r="BD110" s="141"/>
      <c r="BE110" s="141"/>
      <c r="BF110" s="141"/>
      <c r="BG110" s="141"/>
      <c r="BH110" s="141"/>
      <c r="BI110" s="142"/>
      <c r="BJ110" s="143"/>
      <c r="BK110" s="143"/>
      <c r="BL110" s="143"/>
      <c r="BM110" s="143"/>
      <c r="BN110" s="143"/>
      <c r="IR110" s="9">
        <f t="shared" si="11"/>
        <v>0</v>
      </c>
      <c r="IS110" s="9">
        <f t="shared" si="12"/>
        <v>49</v>
      </c>
    </row>
    <row r="111" spans="1:253">
      <c r="A111" s="142" t="s">
        <v>97</v>
      </c>
      <c r="B111" s="143"/>
      <c r="C111" s="142" t="s">
        <v>314</v>
      </c>
      <c r="D111" s="143"/>
      <c r="E111" s="143"/>
      <c r="F111" s="143"/>
      <c r="G111" s="143"/>
      <c r="H111" s="143"/>
      <c r="I111" s="142" t="s">
        <v>510</v>
      </c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3"/>
      <c r="Z111" s="143"/>
      <c r="AA111" s="143"/>
      <c r="AB111" s="143"/>
      <c r="AC111" s="143"/>
      <c r="AD111" s="143"/>
      <c r="AE111" s="143"/>
      <c r="AF111" s="143"/>
      <c r="AG111" s="143"/>
      <c r="AH111" s="143"/>
      <c r="AI111" s="143"/>
      <c r="AJ111" s="143"/>
      <c r="AK111" s="143"/>
      <c r="AL111" s="142" t="s">
        <v>642</v>
      </c>
      <c r="AM111" s="143"/>
      <c r="AN111" s="140">
        <v>10</v>
      </c>
      <c r="AO111" s="141"/>
      <c r="AP111" s="141"/>
      <c r="AQ111" s="141"/>
      <c r="AR111" s="141"/>
      <c r="AS111" s="140">
        <v>48</v>
      </c>
      <c r="AT111" s="141"/>
      <c r="AU111" s="141"/>
      <c r="AV111" s="141"/>
      <c r="AW111" s="141"/>
      <c r="AX111" s="141"/>
      <c r="AY111" s="141"/>
      <c r="AZ111" s="141"/>
      <c r="BA111" s="140">
        <f t="shared" si="13"/>
        <v>480</v>
      </c>
      <c r="BB111" s="141"/>
      <c r="BC111" s="141"/>
      <c r="BD111" s="141"/>
      <c r="BE111" s="141"/>
      <c r="BF111" s="141"/>
      <c r="BG111" s="141"/>
      <c r="BH111" s="141"/>
      <c r="BI111" s="142"/>
      <c r="BJ111" s="143"/>
      <c r="BK111" s="143"/>
      <c r="BL111" s="143"/>
      <c r="BM111" s="143"/>
      <c r="BN111" s="143"/>
      <c r="IR111" s="9">
        <f t="shared" si="11"/>
        <v>0</v>
      </c>
      <c r="IS111" s="9">
        <f t="shared" si="12"/>
        <v>48</v>
      </c>
    </row>
    <row r="112" spans="1:253">
      <c r="A112" s="142" t="s">
        <v>98</v>
      </c>
      <c r="B112" s="143"/>
      <c r="C112" s="142" t="s">
        <v>315</v>
      </c>
      <c r="D112" s="143"/>
      <c r="E112" s="143"/>
      <c r="F112" s="143"/>
      <c r="G112" s="143"/>
      <c r="H112" s="143"/>
      <c r="I112" s="142" t="s">
        <v>511</v>
      </c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3"/>
      <c r="AD112" s="143"/>
      <c r="AE112" s="143"/>
      <c r="AF112" s="143"/>
      <c r="AG112" s="143"/>
      <c r="AH112" s="143"/>
      <c r="AI112" s="143"/>
      <c r="AJ112" s="143"/>
      <c r="AK112" s="143"/>
      <c r="AL112" s="142" t="s">
        <v>642</v>
      </c>
      <c r="AM112" s="143"/>
      <c r="AN112" s="140">
        <v>20</v>
      </c>
      <c r="AO112" s="141"/>
      <c r="AP112" s="141"/>
      <c r="AQ112" s="141"/>
      <c r="AR112" s="141"/>
      <c r="AS112" s="140">
        <v>36</v>
      </c>
      <c r="AT112" s="141"/>
      <c r="AU112" s="141"/>
      <c r="AV112" s="141"/>
      <c r="AW112" s="141"/>
      <c r="AX112" s="141"/>
      <c r="AY112" s="141"/>
      <c r="AZ112" s="141"/>
      <c r="BA112" s="140">
        <f t="shared" si="13"/>
        <v>720</v>
      </c>
      <c r="BB112" s="141"/>
      <c r="BC112" s="141"/>
      <c r="BD112" s="141"/>
      <c r="BE112" s="141"/>
      <c r="BF112" s="141"/>
      <c r="BG112" s="141"/>
      <c r="BH112" s="141"/>
      <c r="BI112" s="142"/>
      <c r="BJ112" s="143"/>
      <c r="BK112" s="143"/>
      <c r="BL112" s="143"/>
      <c r="BM112" s="143"/>
      <c r="BN112" s="143"/>
      <c r="IR112" s="9">
        <f t="shared" si="11"/>
        <v>0</v>
      </c>
      <c r="IS112" s="9">
        <f t="shared" si="12"/>
        <v>36</v>
      </c>
    </row>
    <row r="113" spans="1:253">
      <c r="A113" s="142" t="s">
        <v>99</v>
      </c>
      <c r="B113" s="143"/>
      <c r="C113" s="142" t="s">
        <v>316</v>
      </c>
      <c r="D113" s="143"/>
      <c r="E113" s="143"/>
      <c r="F113" s="143"/>
      <c r="G113" s="143"/>
      <c r="H113" s="143"/>
      <c r="I113" s="142" t="s">
        <v>512</v>
      </c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143"/>
      <c r="X113" s="143"/>
      <c r="Y113" s="143"/>
      <c r="Z113" s="143"/>
      <c r="AA113" s="143"/>
      <c r="AB113" s="143"/>
      <c r="AC113" s="143"/>
      <c r="AD113" s="143"/>
      <c r="AE113" s="143"/>
      <c r="AF113" s="143"/>
      <c r="AG113" s="143"/>
      <c r="AH113" s="143"/>
      <c r="AI113" s="143"/>
      <c r="AJ113" s="143"/>
      <c r="AK113" s="143"/>
      <c r="AL113" s="142" t="s">
        <v>642</v>
      </c>
      <c r="AM113" s="143"/>
      <c r="AN113" s="140">
        <v>10</v>
      </c>
      <c r="AO113" s="141"/>
      <c r="AP113" s="141"/>
      <c r="AQ113" s="141"/>
      <c r="AR113" s="141"/>
      <c r="AS113" s="140">
        <v>39</v>
      </c>
      <c r="AT113" s="141"/>
      <c r="AU113" s="141"/>
      <c r="AV113" s="141"/>
      <c r="AW113" s="141"/>
      <c r="AX113" s="141"/>
      <c r="AY113" s="141"/>
      <c r="AZ113" s="141"/>
      <c r="BA113" s="140">
        <f t="shared" si="13"/>
        <v>390</v>
      </c>
      <c r="BB113" s="141"/>
      <c r="BC113" s="141"/>
      <c r="BD113" s="141"/>
      <c r="BE113" s="141"/>
      <c r="BF113" s="141"/>
      <c r="BG113" s="141"/>
      <c r="BH113" s="141"/>
      <c r="BI113" s="142"/>
      <c r="BJ113" s="143"/>
      <c r="BK113" s="143"/>
      <c r="BL113" s="143"/>
      <c r="BM113" s="143"/>
      <c r="BN113" s="143"/>
      <c r="IR113" s="9">
        <f t="shared" si="11"/>
        <v>0</v>
      </c>
      <c r="IS113" s="9">
        <f t="shared" si="12"/>
        <v>39</v>
      </c>
    </row>
    <row r="114" spans="1:253">
      <c r="A114" s="142" t="s">
        <v>100</v>
      </c>
      <c r="B114" s="143"/>
      <c r="C114" s="142" t="s">
        <v>317</v>
      </c>
      <c r="D114" s="143"/>
      <c r="E114" s="143"/>
      <c r="F114" s="143"/>
      <c r="G114" s="143"/>
      <c r="H114" s="143"/>
      <c r="I114" s="142" t="s">
        <v>513</v>
      </c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/>
      <c r="AF114" s="143"/>
      <c r="AG114" s="143"/>
      <c r="AH114" s="143"/>
      <c r="AI114" s="143"/>
      <c r="AJ114" s="143"/>
      <c r="AK114" s="143"/>
      <c r="AL114" s="142" t="s">
        <v>642</v>
      </c>
      <c r="AM114" s="143"/>
      <c r="AN114" s="140">
        <v>10</v>
      </c>
      <c r="AO114" s="141"/>
      <c r="AP114" s="141"/>
      <c r="AQ114" s="141"/>
      <c r="AR114" s="141"/>
      <c r="AS114" s="140">
        <v>49</v>
      </c>
      <c r="AT114" s="141"/>
      <c r="AU114" s="141"/>
      <c r="AV114" s="141"/>
      <c r="AW114" s="141"/>
      <c r="AX114" s="141"/>
      <c r="AY114" s="141"/>
      <c r="AZ114" s="141"/>
      <c r="BA114" s="140">
        <f t="shared" si="13"/>
        <v>490</v>
      </c>
      <c r="BB114" s="141"/>
      <c r="BC114" s="141"/>
      <c r="BD114" s="141"/>
      <c r="BE114" s="141"/>
      <c r="BF114" s="141"/>
      <c r="BG114" s="141"/>
      <c r="BH114" s="141"/>
      <c r="BI114" s="142"/>
      <c r="BJ114" s="143"/>
      <c r="BK114" s="143"/>
      <c r="BL114" s="143"/>
      <c r="BM114" s="143"/>
      <c r="BN114" s="143"/>
      <c r="IR114" s="9">
        <f t="shared" si="11"/>
        <v>0</v>
      </c>
      <c r="IS114" s="9">
        <f t="shared" si="12"/>
        <v>49</v>
      </c>
    </row>
    <row r="115" spans="1:253">
      <c r="A115" s="142" t="s">
        <v>101</v>
      </c>
      <c r="B115" s="143"/>
      <c r="C115" s="142" t="s">
        <v>318</v>
      </c>
      <c r="D115" s="143"/>
      <c r="E115" s="143"/>
      <c r="F115" s="143"/>
      <c r="G115" s="143"/>
      <c r="H115" s="143"/>
      <c r="I115" s="142" t="s">
        <v>514</v>
      </c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3"/>
      <c r="AD115" s="143"/>
      <c r="AE115" s="143"/>
      <c r="AF115" s="143"/>
      <c r="AG115" s="143"/>
      <c r="AH115" s="143"/>
      <c r="AI115" s="143"/>
      <c r="AJ115" s="143"/>
      <c r="AK115" s="143"/>
      <c r="AL115" s="142" t="s">
        <v>634</v>
      </c>
      <c r="AM115" s="143"/>
      <c r="AN115" s="140">
        <v>1</v>
      </c>
      <c r="AO115" s="141"/>
      <c r="AP115" s="141"/>
      <c r="AQ115" s="141"/>
      <c r="AR115" s="141"/>
      <c r="AS115" s="140">
        <v>14900</v>
      </c>
      <c r="AT115" s="141"/>
      <c r="AU115" s="141"/>
      <c r="AV115" s="141"/>
      <c r="AW115" s="141"/>
      <c r="AX115" s="141"/>
      <c r="AY115" s="141"/>
      <c r="AZ115" s="141"/>
      <c r="BA115" s="140">
        <f t="shared" si="13"/>
        <v>14900</v>
      </c>
      <c r="BB115" s="141"/>
      <c r="BC115" s="141"/>
      <c r="BD115" s="141"/>
      <c r="BE115" s="141"/>
      <c r="BF115" s="141"/>
      <c r="BG115" s="141"/>
      <c r="BH115" s="141"/>
      <c r="BI115" s="142"/>
      <c r="BJ115" s="143"/>
      <c r="BK115" s="143"/>
      <c r="BL115" s="143"/>
      <c r="BM115" s="143"/>
      <c r="BN115" s="143"/>
      <c r="IR115" s="9">
        <f t="shared" si="11"/>
        <v>0</v>
      </c>
      <c r="IS115" s="9">
        <f t="shared" si="12"/>
        <v>14900</v>
      </c>
    </row>
    <row r="116" spans="1:253">
      <c r="A116" s="148" t="s">
        <v>6</v>
      </c>
      <c r="B116" s="149"/>
      <c r="C116" s="148" t="s">
        <v>33</v>
      </c>
      <c r="D116" s="149"/>
      <c r="E116" s="149"/>
      <c r="F116" s="149"/>
      <c r="G116" s="149"/>
      <c r="H116" s="149"/>
      <c r="I116" s="148" t="s">
        <v>515</v>
      </c>
      <c r="J116" s="149"/>
      <c r="K116" s="149"/>
      <c r="L116" s="149"/>
      <c r="M116" s="149"/>
      <c r="N116" s="149"/>
      <c r="O116" s="149"/>
      <c r="P116" s="149"/>
      <c r="Q116" s="149"/>
      <c r="R116" s="149"/>
      <c r="S116" s="149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/>
      <c r="AH116" s="149"/>
      <c r="AI116" s="149"/>
      <c r="AJ116" s="149"/>
      <c r="AK116" s="149"/>
      <c r="AL116" s="148" t="s">
        <v>6</v>
      </c>
      <c r="AM116" s="149"/>
      <c r="AN116" s="144" t="s">
        <v>6</v>
      </c>
      <c r="AO116" s="145"/>
      <c r="AP116" s="145"/>
      <c r="AQ116" s="145"/>
      <c r="AR116" s="145"/>
      <c r="AS116" s="144" t="s">
        <v>6</v>
      </c>
      <c r="AT116" s="145"/>
      <c r="AU116" s="145"/>
      <c r="AV116" s="145"/>
      <c r="AW116" s="145"/>
      <c r="AX116" s="145"/>
      <c r="AY116" s="145"/>
      <c r="AZ116" s="145"/>
      <c r="BA116" s="152">
        <f>SUM(BA117:BA120)</f>
        <v>36361.200400000002</v>
      </c>
      <c r="BB116" s="145"/>
      <c r="BC116" s="145"/>
      <c r="BD116" s="145"/>
      <c r="BE116" s="145"/>
      <c r="BF116" s="145"/>
      <c r="BG116" s="145"/>
      <c r="BH116" s="145"/>
      <c r="BI116" s="148" t="s">
        <v>6</v>
      </c>
      <c r="BJ116" s="149"/>
      <c r="BK116" s="149"/>
      <c r="BL116" s="149"/>
      <c r="BM116" s="149"/>
      <c r="BN116" s="149"/>
    </row>
    <row r="117" spans="1:253">
      <c r="A117" s="142" t="s">
        <v>102</v>
      </c>
      <c r="B117" s="143"/>
      <c r="C117" s="142" t="s">
        <v>319</v>
      </c>
      <c r="D117" s="143"/>
      <c r="E117" s="143"/>
      <c r="F117" s="143"/>
      <c r="G117" s="143"/>
      <c r="H117" s="143"/>
      <c r="I117" s="142" t="s">
        <v>516</v>
      </c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143"/>
      <c r="U117" s="143"/>
      <c r="V117" s="143"/>
      <c r="W117" s="143"/>
      <c r="X117" s="143"/>
      <c r="Y117" s="143"/>
      <c r="Z117" s="143"/>
      <c r="AA117" s="143"/>
      <c r="AB117" s="143"/>
      <c r="AC117" s="143"/>
      <c r="AD117" s="143"/>
      <c r="AE117" s="143"/>
      <c r="AF117" s="143"/>
      <c r="AG117" s="143"/>
      <c r="AH117" s="143"/>
      <c r="AI117" s="143"/>
      <c r="AJ117" s="143"/>
      <c r="AK117" s="143"/>
      <c r="AL117" s="142" t="s">
        <v>638</v>
      </c>
      <c r="AM117" s="143"/>
      <c r="AN117" s="140">
        <v>1.8759999999999999</v>
      </c>
      <c r="AO117" s="141"/>
      <c r="AP117" s="141"/>
      <c r="AQ117" s="141"/>
      <c r="AR117" s="141"/>
      <c r="AS117" s="140">
        <v>2890</v>
      </c>
      <c r="AT117" s="141"/>
      <c r="AU117" s="141"/>
      <c r="AV117" s="141"/>
      <c r="AW117" s="141"/>
      <c r="AX117" s="141"/>
      <c r="AY117" s="141"/>
      <c r="AZ117" s="141"/>
      <c r="BA117" s="140">
        <f>IR117*AN117+IS117*AN117</f>
        <v>5421.6399999999994</v>
      </c>
      <c r="BB117" s="141"/>
      <c r="BC117" s="141"/>
      <c r="BD117" s="141"/>
      <c r="BE117" s="141"/>
      <c r="BF117" s="141"/>
      <c r="BG117" s="141"/>
      <c r="BH117" s="141"/>
      <c r="BI117" s="142" t="s">
        <v>653</v>
      </c>
      <c r="BJ117" s="143"/>
      <c r="BK117" s="143"/>
      <c r="BL117" s="143"/>
      <c r="BM117" s="143"/>
      <c r="BN117" s="143"/>
      <c r="IR117" s="9">
        <f>AS117*0.863349480968858</f>
        <v>2495.0799999999995</v>
      </c>
      <c r="IS117" s="9">
        <f>AS117*(1-0.863349480968858)</f>
        <v>394.92000000000041</v>
      </c>
    </row>
    <row r="118" spans="1:253">
      <c r="A118" s="142" t="s">
        <v>103</v>
      </c>
      <c r="B118" s="143"/>
      <c r="C118" s="142" t="s">
        <v>320</v>
      </c>
      <c r="D118" s="143"/>
      <c r="E118" s="143"/>
      <c r="F118" s="143"/>
      <c r="G118" s="143"/>
      <c r="H118" s="143"/>
      <c r="I118" s="142" t="s">
        <v>517</v>
      </c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  <c r="AF118" s="143"/>
      <c r="AG118" s="143"/>
      <c r="AH118" s="143"/>
      <c r="AI118" s="143"/>
      <c r="AJ118" s="143"/>
      <c r="AK118" s="143"/>
      <c r="AL118" s="142" t="s">
        <v>636</v>
      </c>
      <c r="AM118" s="143"/>
      <c r="AN118" s="140">
        <v>27.05</v>
      </c>
      <c r="AO118" s="141"/>
      <c r="AP118" s="141"/>
      <c r="AQ118" s="141"/>
      <c r="AR118" s="141"/>
      <c r="AS118" s="140">
        <v>563</v>
      </c>
      <c r="AT118" s="141"/>
      <c r="AU118" s="141"/>
      <c r="AV118" s="141"/>
      <c r="AW118" s="141"/>
      <c r="AX118" s="141"/>
      <c r="AY118" s="141"/>
      <c r="AZ118" s="141"/>
      <c r="BA118" s="140">
        <f>IR118*AN118+IS118*AN118</f>
        <v>15229.150000000001</v>
      </c>
      <c r="BB118" s="141"/>
      <c r="BC118" s="141"/>
      <c r="BD118" s="141"/>
      <c r="BE118" s="141"/>
      <c r="BF118" s="141"/>
      <c r="BG118" s="141"/>
      <c r="BH118" s="141"/>
      <c r="BI118" s="142" t="s">
        <v>653</v>
      </c>
      <c r="BJ118" s="143"/>
      <c r="BK118" s="143"/>
      <c r="BL118" s="143"/>
      <c r="BM118" s="143"/>
      <c r="BN118" s="143"/>
      <c r="IR118" s="9">
        <f>AS118*0.287051509769094</f>
        <v>161.60999999999993</v>
      </c>
      <c r="IS118" s="9">
        <f>AS118*(1-0.287051509769094)</f>
        <v>401.3900000000001</v>
      </c>
    </row>
    <row r="119" spans="1:253">
      <c r="A119" s="142" t="s">
        <v>104</v>
      </c>
      <c r="B119" s="143"/>
      <c r="C119" s="142" t="s">
        <v>321</v>
      </c>
      <c r="D119" s="143"/>
      <c r="E119" s="143"/>
      <c r="F119" s="143"/>
      <c r="G119" s="143"/>
      <c r="H119" s="143"/>
      <c r="I119" s="142" t="s">
        <v>518</v>
      </c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/>
      <c r="AF119" s="143"/>
      <c r="AG119" s="143"/>
      <c r="AH119" s="143"/>
      <c r="AI119" s="143"/>
      <c r="AJ119" s="143"/>
      <c r="AK119" s="143"/>
      <c r="AL119" s="142" t="s">
        <v>636</v>
      </c>
      <c r="AM119" s="143"/>
      <c r="AN119" s="140">
        <v>27.05</v>
      </c>
      <c r="AO119" s="141"/>
      <c r="AP119" s="141"/>
      <c r="AQ119" s="141"/>
      <c r="AR119" s="141"/>
      <c r="AS119" s="140">
        <v>123.49</v>
      </c>
      <c r="AT119" s="141"/>
      <c r="AU119" s="141"/>
      <c r="AV119" s="141"/>
      <c r="AW119" s="141"/>
      <c r="AX119" s="141"/>
      <c r="AY119" s="141"/>
      <c r="AZ119" s="141"/>
      <c r="BA119" s="140">
        <f>IR119*AN119+IS119*AN119</f>
        <v>3340.4045000000001</v>
      </c>
      <c r="BB119" s="141"/>
      <c r="BC119" s="141"/>
      <c r="BD119" s="141"/>
      <c r="BE119" s="141"/>
      <c r="BF119" s="141"/>
      <c r="BG119" s="141"/>
      <c r="BH119" s="141"/>
      <c r="BI119" s="142" t="s">
        <v>653</v>
      </c>
      <c r="BJ119" s="143"/>
      <c r="BK119" s="143"/>
      <c r="BL119" s="143"/>
      <c r="BM119" s="143"/>
      <c r="BN119" s="143"/>
      <c r="IR119" s="9">
        <f>AS119*0</f>
        <v>0</v>
      </c>
      <c r="IS119" s="9">
        <f>AS119*(1-0)</f>
        <v>123.49</v>
      </c>
    </row>
    <row r="120" spans="1:253">
      <c r="A120" s="142" t="s">
        <v>105</v>
      </c>
      <c r="B120" s="143"/>
      <c r="C120" s="142" t="s">
        <v>322</v>
      </c>
      <c r="D120" s="143"/>
      <c r="E120" s="143"/>
      <c r="F120" s="143"/>
      <c r="G120" s="143"/>
      <c r="H120" s="143"/>
      <c r="I120" s="142" t="s">
        <v>519</v>
      </c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/>
      <c r="AF120" s="143"/>
      <c r="AG120" s="143"/>
      <c r="AH120" s="143"/>
      <c r="AI120" s="143"/>
      <c r="AJ120" s="143"/>
      <c r="AK120" s="143"/>
      <c r="AL120" s="142" t="s">
        <v>638</v>
      </c>
      <c r="AM120" s="143"/>
      <c r="AN120" s="140">
        <v>4.41</v>
      </c>
      <c r="AO120" s="141"/>
      <c r="AP120" s="141"/>
      <c r="AQ120" s="141"/>
      <c r="AR120" s="141"/>
      <c r="AS120" s="140">
        <v>2804.99</v>
      </c>
      <c r="AT120" s="141"/>
      <c r="AU120" s="141"/>
      <c r="AV120" s="141"/>
      <c r="AW120" s="141"/>
      <c r="AX120" s="141"/>
      <c r="AY120" s="141"/>
      <c r="AZ120" s="141"/>
      <c r="BA120" s="140">
        <f>IR120*AN120+IS120*AN120</f>
        <v>12370.0059</v>
      </c>
      <c r="BB120" s="141"/>
      <c r="BC120" s="141"/>
      <c r="BD120" s="141"/>
      <c r="BE120" s="141"/>
      <c r="BF120" s="141"/>
      <c r="BG120" s="141"/>
      <c r="BH120" s="141"/>
      <c r="BI120" s="142" t="s">
        <v>653</v>
      </c>
      <c r="BJ120" s="143"/>
      <c r="BK120" s="143"/>
      <c r="BL120" s="143"/>
      <c r="BM120" s="143"/>
      <c r="BN120" s="143"/>
      <c r="IR120" s="9">
        <f>AS120*0.901404283081223</f>
        <v>2528.4299999999994</v>
      </c>
      <c r="IS120" s="9">
        <f>AS120*(1-0.901404283081223)</f>
        <v>276.56000000000029</v>
      </c>
    </row>
    <row r="121" spans="1:253">
      <c r="A121" s="148" t="s">
        <v>6</v>
      </c>
      <c r="B121" s="149"/>
      <c r="C121" s="148" t="s">
        <v>40</v>
      </c>
      <c r="D121" s="149"/>
      <c r="E121" s="149"/>
      <c r="F121" s="149"/>
      <c r="G121" s="149"/>
      <c r="H121" s="149"/>
      <c r="I121" s="148" t="s">
        <v>520</v>
      </c>
      <c r="J121" s="149"/>
      <c r="K121" s="149"/>
      <c r="L121" s="149"/>
      <c r="M121" s="149"/>
      <c r="N121" s="149"/>
      <c r="O121" s="149"/>
      <c r="P121" s="149"/>
      <c r="Q121" s="149"/>
      <c r="R121" s="149"/>
      <c r="S121" s="149"/>
      <c r="T121" s="149"/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/>
      <c r="AH121" s="149"/>
      <c r="AI121" s="149"/>
      <c r="AJ121" s="149"/>
      <c r="AK121" s="149"/>
      <c r="AL121" s="148" t="s">
        <v>6</v>
      </c>
      <c r="AM121" s="149"/>
      <c r="AN121" s="144" t="s">
        <v>6</v>
      </c>
      <c r="AO121" s="145"/>
      <c r="AP121" s="145"/>
      <c r="AQ121" s="145"/>
      <c r="AR121" s="145"/>
      <c r="AS121" s="144" t="s">
        <v>6</v>
      </c>
      <c r="AT121" s="145"/>
      <c r="AU121" s="145"/>
      <c r="AV121" s="145"/>
      <c r="AW121" s="145"/>
      <c r="AX121" s="145"/>
      <c r="AY121" s="145"/>
      <c r="AZ121" s="145"/>
      <c r="BA121" s="152">
        <f>SUM(BA122:BA122)</f>
        <v>14261</v>
      </c>
      <c r="BB121" s="145"/>
      <c r="BC121" s="145"/>
      <c r="BD121" s="145"/>
      <c r="BE121" s="145"/>
      <c r="BF121" s="145"/>
      <c r="BG121" s="145"/>
      <c r="BH121" s="145"/>
      <c r="BI121" s="148" t="s">
        <v>6</v>
      </c>
      <c r="BJ121" s="149"/>
      <c r="BK121" s="149"/>
      <c r="BL121" s="149"/>
      <c r="BM121" s="149"/>
      <c r="BN121" s="149"/>
    </row>
    <row r="122" spans="1:253">
      <c r="A122" s="142" t="s">
        <v>106</v>
      </c>
      <c r="B122" s="143"/>
      <c r="C122" s="142" t="s">
        <v>323</v>
      </c>
      <c r="D122" s="143"/>
      <c r="E122" s="143"/>
      <c r="F122" s="143"/>
      <c r="G122" s="143"/>
      <c r="H122" s="143"/>
      <c r="I122" s="142" t="s">
        <v>521</v>
      </c>
      <c r="J122" s="143"/>
      <c r="K122" s="143"/>
      <c r="L122" s="143"/>
      <c r="M122" s="143"/>
      <c r="N122" s="143"/>
      <c r="O122" s="143"/>
      <c r="P122" s="143"/>
      <c r="Q122" s="143"/>
      <c r="R122" s="143"/>
      <c r="S122" s="143"/>
      <c r="T122" s="143"/>
      <c r="U122" s="143"/>
      <c r="V122" s="143"/>
      <c r="W122" s="143"/>
      <c r="X122" s="143"/>
      <c r="Y122" s="143"/>
      <c r="Z122" s="143"/>
      <c r="AA122" s="143"/>
      <c r="AB122" s="143"/>
      <c r="AC122" s="143"/>
      <c r="AD122" s="143"/>
      <c r="AE122" s="143"/>
      <c r="AF122" s="143"/>
      <c r="AG122" s="143"/>
      <c r="AH122" s="143"/>
      <c r="AI122" s="143"/>
      <c r="AJ122" s="143"/>
      <c r="AK122" s="143"/>
      <c r="AL122" s="142" t="s">
        <v>635</v>
      </c>
      <c r="AM122" s="143"/>
      <c r="AN122" s="140">
        <v>13</v>
      </c>
      <c r="AO122" s="141"/>
      <c r="AP122" s="141"/>
      <c r="AQ122" s="141"/>
      <c r="AR122" s="141"/>
      <c r="AS122" s="140">
        <v>1097</v>
      </c>
      <c r="AT122" s="141"/>
      <c r="AU122" s="141"/>
      <c r="AV122" s="141"/>
      <c r="AW122" s="141"/>
      <c r="AX122" s="141"/>
      <c r="AY122" s="141"/>
      <c r="AZ122" s="141"/>
      <c r="BA122" s="140">
        <f>IR122*AN122+IS122*AN122</f>
        <v>14261</v>
      </c>
      <c r="BB122" s="141"/>
      <c r="BC122" s="141"/>
      <c r="BD122" s="141"/>
      <c r="BE122" s="141"/>
      <c r="BF122" s="141"/>
      <c r="BG122" s="141"/>
      <c r="BH122" s="141"/>
      <c r="BI122" s="142" t="s">
        <v>653</v>
      </c>
      <c r="BJ122" s="143"/>
      <c r="BK122" s="143"/>
      <c r="BL122" s="143"/>
      <c r="BM122" s="143"/>
      <c r="BN122" s="143"/>
      <c r="IR122" s="9">
        <f>AS122*0.644658158614403</f>
        <v>707.19</v>
      </c>
      <c r="IS122" s="9">
        <f>AS122*(1-0.644658158614403)</f>
        <v>389.80999999999989</v>
      </c>
    </row>
    <row r="123" spans="1:253">
      <c r="A123" s="148" t="s">
        <v>6</v>
      </c>
      <c r="B123" s="149"/>
      <c r="C123" s="148" t="s">
        <v>49</v>
      </c>
      <c r="D123" s="149"/>
      <c r="E123" s="149"/>
      <c r="F123" s="149"/>
      <c r="G123" s="149"/>
      <c r="H123" s="149"/>
      <c r="I123" s="148" t="s">
        <v>522</v>
      </c>
      <c r="J123" s="149"/>
      <c r="K123" s="149"/>
      <c r="L123" s="149"/>
      <c r="M123" s="149"/>
      <c r="N123" s="149"/>
      <c r="O123" s="149"/>
      <c r="P123" s="149"/>
      <c r="Q123" s="149"/>
      <c r="R123" s="149"/>
      <c r="S123" s="149"/>
      <c r="T123" s="149"/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/>
      <c r="AH123" s="149"/>
      <c r="AI123" s="149"/>
      <c r="AJ123" s="149"/>
      <c r="AK123" s="149"/>
      <c r="AL123" s="148" t="s">
        <v>6</v>
      </c>
      <c r="AM123" s="149"/>
      <c r="AN123" s="144" t="s">
        <v>6</v>
      </c>
      <c r="AO123" s="145"/>
      <c r="AP123" s="145"/>
      <c r="AQ123" s="145"/>
      <c r="AR123" s="145"/>
      <c r="AS123" s="144" t="s">
        <v>6</v>
      </c>
      <c r="AT123" s="145"/>
      <c r="AU123" s="145"/>
      <c r="AV123" s="145"/>
      <c r="AW123" s="145"/>
      <c r="AX123" s="145"/>
      <c r="AY123" s="145"/>
      <c r="AZ123" s="145"/>
      <c r="BA123" s="152">
        <f>SUM(BA124:BA124)</f>
        <v>9680.02</v>
      </c>
      <c r="BB123" s="145"/>
      <c r="BC123" s="145"/>
      <c r="BD123" s="145"/>
      <c r="BE123" s="145"/>
      <c r="BF123" s="145"/>
      <c r="BG123" s="145"/>
      <c r="BH123" s="145"/>
      <c r="BI123" s="148" t="s">
        <v>6</v>
      </c>
      <c r="BJ123" s="149"/>
      <c r="BK123" s="149"/>
      <c r="BL123" s="149"/>
      <c r="BM123" s="149"/>
      <c r="BN123" s="149"/>
    </row>
    <row r="124" spans="1:253">
      <c r="A124" s="142" t="s">
        <v>107</v>
      </c>
      <c r="B124" s="143"/>
      <c r="C124" s="142" t="s">
        <v>324</v>
      </c>
      <c r="D124" s="143"/>
      <c r="E124" s="143"/>
      <c r="F124" s="143"/>
      <c r="G124" s="143"/>
      <c r="H124" s="143"/>
      <c r="I124" s="142" t="s">
        <v>523</v>
      </c>
      <c r="J124" s="143"/>
      <c r="K124" s="143"/>
      <c r="L124" s="143"/>
      <c r="M124" s="143"/>
      <c r="N124" s="143"/>
      <c r="O124" s="143"/>
      <c r="P124" s="143"/>
      <c r="Q124" s="143"/>
      <c r="R124" s="143"/>
      <c r="S124" s="143"/>
      <c r="T124" s="143"/>
      <c r="U124" s="143"/>
      <c r="V124" s="143"/>
      <c r="W124" s="143"/>
      <c r="X124" s="143"/>
      <c r="Y124" s="143"/>
      <c r="Z124" s="143"/>
      <c r="AA124" s="143"/>
      <c r="AB124" s="143"/>
      <c r="AC124" s="143"/>
      <c r="AD124" s="143"/>
      <c r="AE124" s="143"/>
      <c r="AF124" s="143"/>
      <c r="AG124" s="143"/>
      <c r="AH124" s="143"/>
      <c r="AI124" s="143"/>
      <c r="AJ124" s="143"/>
      <c r="AK124" s="143"/>
      <c r="AL124" s="142" t="s">
        <v>637</v>
      </c>
      <c r="AM124" s="143"/>
      <c r="AN124" s="140">
        <v>2</v>
      </c>
      <c r="AO124" s="141"/>
      <c r="AP124" s="141"/>
      <c r="AQ124" s="141"/>
      <c r="AR124" s="141"/>
      <c r="AS124" s="140">
        <v>4840.01</v>
      </c>
      <c r="AT124" s="141"/>
      <c r="AU124" s="141"/>
      <c r="AV124" s="141"/>
      <c r="AW124" s="141"/>
      <c r="AX124" s="141"/>
      <c r="AY124" s="141"/>
      <c r="AZ124" s="141"/>
      <c r="BA124" s="140">
        <f>IR124*AN124+IS124*AN124</f>
        <v>9680.02</v>
      </c>
      <c r="BB124" s="141"/>
      <c r="BC124" s="141"/>
      <c r="BD124" s="141"/>
      <c r="BE124" s="141"/>
      <c r="BF124" s="141"/>
      <c r="BG124" s="141"/>
      <c r="BH124" s="141"/>
      <c r="BI124" s="142" t="s">
        <v>655</v>
      </c>
      <c r="BJ124" s="143"/>
      <c r="BK124" s="143"/>
      <c r="BL124" s="143"/>
      <c r="BM124" s="143"/>
      <c r="BN124" s="143"/>
      <c r="IR124" s="9">
        <f>AS124*0.594622738382772</f>
        <v>2877.9800000000005</v>
      </c>
      <c r="IS124" s="9">
        <f>AS124*(1-0.594622738382772)</f>
        <v>1962.0299999999997</v>
      </c>
    </row>
    <row r="125" spans="1:253">
      <c r="A125" s="148" t="s">
        <v>6</v>
      </c>
      <c r="B125" s="149"/>
      <c r="C125" s="148" t="s">
        <v>62</v>
      </c>
      <c r="D125" s="149"/>
      <c r="E125" s="149"/>
      <c r="F125" s="149"/>
      <c r="G125" s="149"/>
      <c r="H125" s="149"/>
      <c r="I125" s="148" t="s">
        <v>524</v>
      </c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49"/>
      <c r="AK125" s="149"/>
      <c r="AL125" s="148" t="s">
        <v>6</v>
      </c>
      <c r="AM125" s="149"/>
      <c r="AN125" s="144" t="s">
        <v>6</v>
      </c>
      <c r="AO125" s="145"/>
      <c r="AP125" s="145"/>
      <c r="AQ125" s="145"/>
      <c r="AR125" s="145"/>
      <c r="AS125" s="144" t="s">
        <v>6</v>
      </c>
      <c r="AT125" s="145"/>
      <c r="AU125" s="145"/>
      <c r="AV125" s="145"/>
      <c r="AW125" s="145"/>
      <c r="AX125" s="145"/>
      <c r="AY125" s="145"/>
      <c r="AZ125" s="145"/>
      <c r="BA125" s="152">
        <f>SUM(BA126:BA134)</f>
        <v>279970.47850000003</v>
      </c>
      <c r="BB125" s="145"/>
      <c r="BC125" s="145"/>
      <c r="BD125" s="145"/>
      <c r="BE125" s="145"/>
      <c r="BF125" s="145"/>
      <c r="BG125" s="145"/>
      <c r="BH125" s="145"/>
      <c r="BI125" s="148" t="s">
        <v>6</v>
      </c>
      <c r="BJ125" s="149"/>
      <c r="BK125" s="149"/>
      <c r="BL125" s="149"/>
      <c r="BM125" s="149"/>
      <c r="BN125" s="149"/>
    </row>
    <row r="126" spans="1:253">
      <c r="A126" s="142" t="s">
        <v>108</v>
      </c>
      <c r="B126" s="143"/>
      <c r="C126" s="142" t="s">
        <v>325</v>
      </c>
      <c r="D126" s="143"/>
      <c r="E126" s="143"/>
      <c r="F126" s="143"/>
      <c r="G126" s="143"/>
      <c r="H126" s="143"/>
      <c r="I126" s="142" t="s">
        <v>525</v>
      </c>
      <c r="J126" s="143"/>
      <c r="K126" s="143"/>
      <c r="L126" s="143"/>
      <c r="M126" s="143"/>
      <c r="N126" s="143"/>
      <c r="O126" s="143"/>
      <c r="P126" s="143"/>
      <c r="Q126" s="143"/>
      <c r="R126" s="143"/>
      <c r="S126" s="143"/>
      <c r="T126" s="143"/>
      <c r="U126" s="143"/>
      <c r="V126" s="143"/>
      <c r="W126" s="143"/>
      <c r="X126" s="143"/>
      <c r="Y126" s="143"/>
      <c r="Z126" s="143"/>
      <c r="AA126" s="143"/>
      <c r="AB126" s="143"/>
      <c r="AC126" s="143"/>
      <c r="AD126" s="143"/>
      <c r="AE126" s="143"/>
      <c r="AF126" s="143"/>
      <c r="AG126" s="143"/>
      <c r="AH126" s="143"/>
      <c r="AI126" s="143"/>
      <c r="AJ126" s="143"/>
      <c r="AK126" s="143"/>
      <c r="AL126" s="142" t="s">
        <v>636</v>
      </c>
      <c r="AM126" s="143"/>
      <c r="AN126" s="140">
        <v>80</v>
      </c>
      <c r="AO126" s="141"/>
      <c r="AP126" s="141"/>
      <c r="AQ126" s="141"/>
      <c r="AR126" s="141"/>
      <c r="AS126" s="140">
        <v>76.599999999999994</v>
      </c>
      <c r="AT126" s="141"/>
      <c r="AU126" s="141"/>
      <c r="AV126" s="141"/>
      <c r="AW126" s="141"/>
      <c r="AX126" s="141"/>
      <c r="AY126" s="141"/>
      <c r="AZ126" s="141"/>
      <c r="BA126" s="140">
        <f>IR126*AN126+IS126*AN126</f>
        <v>6127.9999999999991</v>
      </c>
      <c r="BB126" s="141"/>
      <c r="BC126" s="141"/>
      <c r="BD126" s="141"/>
      <c r="BE126" s="141"/>
      <c r="BF126" s="141"/>
      <c r="BG126" s="141"/>
      <c r="BH126" s="141"/>
      <c r="BI126" s="142" t="s">
        <v>653</v>
      </c>
      <c r="BJ126" s="143"/>
      <c r="BK126" s="143"/>
      <c r="BL126" s="143"/>
      <c r="BM126" s="143"/>
      <c r="BN126" s="143"/>
      <c r="IR126" s="9">
        <f>AS126*0.817885117493473</f>
        <v>62.650000000000027</v>
      </c>
      <c r="IS126" s="9">
        <f>AS126*(1-0.817885117493473)</f>
        <v>13.949999999999964</v>
      </c>
    </row>
    <row r="127" spans="1:253">
      <c r="A127" s="142"/>
      <c r="B127" s="143"/>
      <c r="C127" s="143"/>
      <c r="D127" s="143"/>
      <c r="E127" s="143"/>
      <c r="F127" s="143"/>
      <c r="G127" s="143"/>
      <c r="H127" s="143"/>
      <c r="I127" s="150" t="s">
        <v>526</v>
      </c>
      <c r="J127" s="151"/>
      <c r="K127" s="151"/>
      <c r="L127" s="151"/>
      <c r="M127" s="151"/>
      <c r="N127" s="151"/>
      <c r="O127" s="151"/>
      <c r="P127" s="151"/>
      <c r="Q127" s="151"/>
      <c r="R127" s="151"/>
      <c r="S127" s="151"/>
      <c r="T127" s="151"/>
      <c r="U127" s="15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/>
      <c r="AH127" s="151"/>
      <c r="AI127" s="151"/>
      <c r="AJ127" s="151"/>
      <c r="AK127" s="151"/>
      <c r="AL127" s="142"/>
      <c r="AM127" s="143"/>
      <c r="AN127" s="143"/>
      <c r="AO127" s="143"/>
      <c r="AP127" s="143"/>
      <c r="AQ127" s="143"/>
      <c r="AR127" s="143"/>
      <c r="AS127" s="143"/>
      <c r="AT127" s="143"/>
      <c r="AU127" s="143"/>
      <c r="AV127" s="143"/>
      <c r="AW127" s="143"/>
      <c r="AX127" s="143"/>
      <c r="AY127" s="143"/>
      <c r="AZ127" s="143"/>
      <c r="BA127" s="143"/>
      <c r="BB127" s="143"/>
      <c r="BC127" s="143"/>
      <c r="BD127" s="143"/>
      <c r="BE127" s="143"/>
      <c r="BF127" s="143"/>
      <c r="BG127" s="143"/>
      <c r="BH127" s="143"/>
      <c r="BI127" s="143"/>
      <c r="BJ127" s="143"/>
      <c r="BK127" s="143"/>
      <c r="BL127" s="143"/>
      <c r="BM127" s="143"/>
      <c r="BN127" s="143"/>
    </row>
    <row r="128" spans="1:253">
      <c r="A128" s="142" t="s">
        <v>109</v>
      </c>
      <c r="B128" s="143"/>
      <c r="C128" s="142" t="s">
        <v>326</v>
      </c>
      <c r="D128" s="143"/>
      <c r="E128" s="143"/>
      <c r="F128" s="143"/>
      <c r="G128" s="143"/>
      <c r="H128" s="143"/>
      <c r="I128" s="142" t="s">
        <v>527</v>
      </c>
      <c r="J128" s="143"/>
      <c r="K128" s="143"/>
      <c r="L128" s="143"/>
      <c r="M128" s="143"/>
      <c r="N128" s="143"/>
      <c r="O128" s="143"/>
      <c r="P128" s="143"/>
      <c r="Q128" s="143"/>
      <c r="R128" s="143"/>
      <c r="S128" s="143"/>
      <c r="T128" s="143"/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/>
      <c r="AF128" s="143"/>
      <c r="AG128" s="143"/>
      <c r="AH128" s="143"/>
      <c r="AI128" s="143"/>
      <c r="AJ128" s="143"/>
      <c r="AK128" s="143"/>
      <c r="AL128" s="142" t="s">
        <v>636</v>
      </c>
      <c r="AM128" s="143"/>
      <c r="AN128" s="140">
        <v>654</v>
      </c>
      <c r="AO128" s="141"/>
      <c r="AP128" s="141"/>
      <c r="AQ128" s="141"/>
      <c r="AR128" s="141"/>
      <c r="AS128" s="140">
        <v>174</v>
      </c>
      <c r="AT128" s="141"/>
      <c r="AU128" s="141"/>
      <c r="AV128" s="141"/>
      <c r="AW128" s="141"/>
      <c r="AX128" s="141"/>
      <c r="AY128" s="141"/>
      <c r="AZ128" s="141"/>
      <c r="BA128" s="140">
        <f>IR128*AN128+IS128*AN128</f>
        <v>113796</v>
      </c>
      <c r="BB128" s="141"/>
      <c r="BC128" s="141"/>
      <c r="BD128" s="141"/>
      <c r="BE128" s="141"/>
      <c r="BF128" s="141"/>
      <c r="BG128" s="141"/>
      <c r="BH128" s="141"/>
      <c r="BI128" s="142" t="s">
        <v>653</v>
      </c>
      <c r="BJ128" s="143"/>
      <c r="BK128" s="143"/>
      <c r="BL128" s="143"/>
      <c r="BM128" s="143"/>
      <c r="BN128" s="143"/>
      <c r="IR128" s="9">
        <f>AS128*0.854252873563218</f>
        <v>148.63999999999993</v>
      </c>
      <c r="IS128" s="9">
        <f>AS128*(1-0.854252873563218)</f>
        <v>25.36000000000007</v>
      </c>
    </row>
    <row r="129" spans="1:253">
      <c r="A129" s="142"/>
      <c r="B129" s="143"/>
      <c r="C129" s="143"/>
      <c r="D129" s="143"/>
      <c r="E129" s="143"/>
      <c r="F129" s="143"/>
      <c r="G129" s="143"/>
      <c r="H129" s="143"/>
      <c r="I129" s="150" t="s">
        <v>528</v>
      </c>
      <c r="J129" s="151"/>
      <c r="K129" s="151"/>
      <c r="L129" s="151"/>
      <c r="M129" s="151"/>
      <c r="N129" s="151"/>
      <c r="O129" s="151"/>
      <c r="P129" s="151"/>
      <c r="Q129" s="151"/>
      <c r="R129" s="151"/>
      <c r="S129" s="151"/>
      <c r="T129" s="151"/>
      <c r="U129" s="15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/>
      <c r="AH129" s="151"/>
      <c r="AI129" s="151"/>
      <c r="AJ129" s="151"/>
      <c r="AK129" s="151"/>
      <c r="AL129" s="142"/>
      <c r="AM129" s="143"/>
      <c r="AN129" s="143"/>
      <c r="AO129" s="143"/>
      <c r="AP129" s="143"/>
      <c r="AQ129" s="143"/>
      <c r="AR129" s="143"/>
      <c r="AS129" s="143"/>
      <c r="AT129" s="143"/>
      <c r="AU129" s="143"/>
      <c r="AV129" s="143"/>
      <c r="AW129" s="143"/>
      <c r="AX129" s="143"/>
      <c r="AY129" s="143"/>
      <c r="AZ129" s="143"/>
      <c r="BA129" s="143"/>
      <c r="BB129" s="143"/>
      <c r="BC129" s="143"/>
      <c r="BD129" s="143"/>
      <c r="BE129" s="143"/>
      <c r="BF129" s="143"/>
      <c r="BG129" s="143"/>
      <c r="BH129" s="143"/>
      <c r="BI129" s="143"/>
      <c r="BJ129" s="143"/>
      <c r="BK129" s="143"/>
      <c r="BL129" s="143"/>
      <c r="BM129" s="143"/>
      <c r="BN129" s="143"/>
    </row>
    <row r="130" spans="1:253">
      <c r="A130" s="142" t="s">
        <v>110</v>
      </c>
      <c r="B130" s="143"/>
      <c r="C130" s="142" t="s">
        <v>327</v>
      </c>
      <c r="D130" s="143"/>
      <c r="E130" s="143"/>
      <c r="F130" s="143"/>
      <c r="G130" s="143"/>
      <c r="H130" s="143"/>
      <c r="I130" s="142" t="s">
        <v>527</v>
      </c>
      <c r="J130" s="143"/>
      <c r="K130" s="143"/>
      <c r="L130" s="143"/>
      <c r="M130" s="143"/>
      <c r="N130" s="143"/>
      <c r="O130" s="143"/>
      <c r="P130" s="143"/>
      <c r="Q130" s="143"/>
      <c r="R130" s="143"/>
      <c r="S130" s="143"/>
      <c r="T130" s="143"/>
      <c r="U130" s="143"/>
      <c r="V130" s="143"/>
      <c r="W130" s="143"/>
      <c r="X130" s="143"/>
      <c r="Y130" s="143"/>
      <c r="Z130" s="143"/>
      <c r="AA130" s="143"/>
      <c r="AB130" s="143"/>
      <c r="AC130" s="143"/>
      <c r="AD130" s="143"/>
      <c r="AE130" s="143"/>
      <c r="AF130" s="143"/>
      <c r="AG130" s="143"/>
      <c r="AH130" s="143"/>
      <c r="AI130" s="143"/>
      <c r="AJ130" s="143"/>
      <c r="AK130" s="143"/>
      <c r="AL130" s="142" t="s">
        <v>636</v>
      </c>
      <c r="AM130" s="143"/>
      <c r="AN130" s="140">
        <v>821.67</v>
      </c>
      <c r="AO130" s="141"/>
      <c r="AP130" s="141"/>
      <c r="AQ130" s="141"/>
      <c r="AR130" s="141"/>
      <c r="AS130" s="140">
        <v>185.5</v>
      </c>
      <c r="AT130" s="141"/>
      <c r="AU130" s="141"/>
      <c r="AV130" s="141"/>
      <c r="AW130" s="141"/>
      <c r="AX130" s="141"/>
      <c r="AY130" s="141"/>
      <c r="AZ130" s="141"/>
      <c r="BA130" s="140">
        <f>IR130*AN130+IS130*AN130</f>
        <v>152419.785</v>
      </c>
      <c r="BB130" s="141"/>
      <c r="BC130" s="141"/>
      <c r="BD130" s="141"/>
      <c r="BE130" s="141"/>
      <c r="BF130" s="141"/>
      <c r="BG130" s="141"/>
      <c r="BH130" s="141"/>
      <c r="BI130" s="142" t="s">
        <v>653</v>
      </c>
      <c r="BJ130" s="143"/>
      <c r="BK130" s="143"/>
      <c r="BL130" s="143"/>
      <c r="BM130" s="143"/>
      <c r="BN130" s="143"/>
      <c r="IR130" s="9">
        <f>AS130*0.863288409703504</f>
        <v>160.13999999999999</v>
      </c>
      <c r="IS130" s="9">
        <f>AS130*(1-0.863288409703504)</f>
        <v>25.360000000000017</v>
      </c>
    </row>
    <row r="131" spans="1:253">
      <c r="A131" s="142"/>
      <c r="B131" s="143"/>
      <c r="C131" s="143"/>
      <c r="D131" s="143"/>
      <c r="E131" s="143"/>
      <c r="F131" s="143"/>
      <c r="G131" s="143"/>
      <c r="H131" s="143"/>
      <c r="I131" s="150" t="s">
        <v>529</v>
      </c>
      <c r="J131" s="151"/>
      <c r="K131" s="151"/>
      <c r="L131" s="151"/>
      <c r="M131" s="151"/>
      <c r="N131" s="151"/>
      <c r="O131" s="151"/>
      <c r="P131" s="151"/>
      <c r="Q131" s="151"/>
      <c r="R131" s="151"/>
      <c r="S131" s="151"/>
      <c r="T131" s="151"/>
      <c r="U131" s="15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/>
      <c r="AH131" s="151"/>
      <c r="AI131" s="151"/>
      <c r="AJ131" s="151"/>
      <c r="AK131" s="151"/>
      <c r="AL131" s="142"/>
      <c r="AM131" s="143"/>
      <c r="AN131" s="143"/>
      <c r="AO131" s="143"/>
      <c r="AP131" s="143"/>
      <c r="AQ131" s="143"/>
      <c r="AR131" s="143"/>
      <c r="AS131" s="143"/>
      <c r="AT131" s="143"/>
      <c r="AU131" s="143"/>
      <c r="AV131" s="143"/>
      <c r="AW131" s="143"/>
      <c r="AX131" s="143"/>
      <c r="AY131" s="143"/>
      <c r="AZ131" s="143"/>
      <c r="BA131" s="143"/>
      <c r="BB131" s="143"/>
      <c r="BC131" s="143"/>
      <c r="BD131" s="143"/>
      <c r="BE131" s="143"/>
      <c r="BF131" s="143"/>
      <c r="BG131" s="143"/>
      <c r="BH131" s="143"/>
      <c r="BI131" s="143"/>
      <c r="BJ131" s="143"/>
      <c r="BK131" s="143"/>
      <c r="BL131" s="143"/>
      <c r="BM131" s="143"/>
      <c r="BN131" s="143"/>
    </row>
    <row r="132" spans="1:253">
      <c r="A132" s="142" t="s">
        <v>111</v>
      </c>
      <c r="B132" s="143"/>
      <c r="C132" s="142" t="s">
        <v>325</v>
      </c>
      <c r="D132" s="143"/>
      <c r="E132" s="143"/>
      <c r="F132" s="143"/>
      <c r="G132" s="143"/>
      <c r="H132" s="143"/>
      <c r="I132" s="142" t="s">
        <v>525</v>
      </c>
      <c r="J132" s="143"/>
      <c r="K132" s="143"/>
      <c r="L132" s="143"/>
      <c r="M132" s="143"/>
      <c r="N132" s="143"/>
      <c r="O132" s="143"/>
      <c r="P132" s="143"/>
      <c r="Q132" s="143"/>
      <c r="R132" s="143"/>
      <c r="S132" s="143"/>
      <c r="T132" s="143"/>
      <c r="U132" s="14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/>
      <c r="AF132" s="143"/>
      <c r="AG132" s="143"/>
      <c r="AH132" s="143"/>
      <c r="AI132" s="143"/>
      <c r="AJ132" s="143"/>
      <c r="AK132" s="143"/>
      <c r="AL132" s="142" t="s">
        <v>636</v>
      </c>
      <c r="AM132" s="143"/>
      <c r="AN132" s="140">
        <v>39.299999999999997</v>
      </c>
      <c r="AO132" s="141"/>
      <c r="AP132" s="141"/>
      <c r="AQ132" s="141"/>
      <c r="AR132" s="141"/>
      <c r="AS132" s="140">
        <v>76.599999999999994</v>
      </c>
      <c r="AT132" s="141"/>
      <c r="AU132" s="141"/>
      <c r="AV132" s="141"/>
      <c r="AW132" s="141"/>
      <c r="AX132" s="141"/>
      <c r="AY132" s="141"/>
      <c r="AZ132" s="141"/>
      <c r="BA132" s="140">
        <f>IR132*AN132+IS132*AN132</f>
        <v>3010.3799999999992</v>
      </c>
      <c r="BB132" s="141"/>
      <c r="BC132" s="141"/>
      <c r="BD132" s="141"/>
      <c r="BE132" s="141"/>
      <c r="BF132" s="141"/>
      <c r="BG132" s="141"/>
      <c r="BH132" s="141"/>
      <c r="BI132" s="142" t="s">
        <v>653</v>
      </c>
      <c r="BJ132" s="143"/>
      <c r="BK132" s="143"/>
      <c r="BL132" s="143"/>
      <c r="BM132" s="143"/>
      <c r="BN132" s="143"/>
      <c r="IR132" s="9">
        <f>AS132*0.817885117493473</f>
        <v>62.650000000000027</v>
      </c>
      <c r="IS132" s="9">
        <f>AS132*(1-0.817885117493473)</f>
        <v>13.949999999999964</v>
      </c>
    </row>
    <row r="133" spans="1:253">
      <c r="A133" s="142" t="s">
        <v>112</v>
      </c>
      <c r="B133" s="143"/>
      <c r="C133" s="142" t="s">
        <v>328</v>
      </c>
      <c r="D133" s="143"/>
      <c r="E133" s="143"/>
      <c r="F133" s="143"/>
      <c r="G133" s="143"/>
      <c r="H133" s="143"/>
      <c r="I133" s="142" t="s">
        <v>530</v>
      </c>
      <c r="J133" s="143"/>
      <c r="K133" s="143"/>
      <c r="L133" s="143"/>
      <c r="M133" s="143"/>
      <c r="N133" s="143"/>
      <c r="O133" s="143"/>
      <c r="P133" s="143"/>
      <c r="Q133" s="143"/>
      <c r="R133" s="143"/>
      <c r="S133" s="143"/>
      <c r="T133" s="143"/>
      <c r="U133" s="143"/>
      <c r="V133" s="143"/>
      <c r="W133" s="143"/>
      <c r="X133" s="143"/>
      <c r="Y133" s="143"/>
      <c r="Z133" s="143"/>
      <c r="AA133" s="143"/>
      <c r="AB133" s="143"/>
      <c r="AC133" s="143"/>
      <c r="AD133" s="143"/>
      <c r="AE133" s="143"/>
      <c r="AF133" s="143"/>
      <c r="AG133" s="143"/>
      <c r="AH133" s="143"/>
      <c r="AI133" s="143"/>
      <c r="AJ133" s="143"/>
      <c r="AK133" s="143"/>
      <c r="AL133" s="142" t="s">
        <v>636</v>
      </c>
      <c r="AM133" s="143"/>
      <c r="AN133" s="140">
        <v>119.3</v>
      </c>
      <c r="AO133" s="141"/>
      <c r="AP133" s="141"/>
      <c r="AQ133" s="141"/>
      <c r="AR133" s="141"/>
      <c r="AS133" s="140">
        <v>29.4</v>
      </c>
      <c r="AT133" s="141"/>
      <c r="AU133" s="141"/>
      <c r="AV133" s="141"/>
      <c r="AW133" s="141"/>
      <c r="AX133" s="141"/>
      <c r="AY133" s="141"/>
      <c r="AZ133" s="141"/>
      <c r="BA133" s="140">
        <f>IR133*AN133+IS133*AN133</f>
        <v>3507.4199999999996</v>
      </c>
      <c r="BB133" s="141"/>
      <c r="BC133" s="141"/>
      <c r="BD133" s="141"/>
      <c r="BE133" s="141"/>
      <c r="BF133" s="141"/>
      <c r="BG133" s="141"/>
      <c r="BH133" s="141"/>
      <c r="BI133" s="142" t="s">
        <v>653</v>
      </c>
      <c r="BJ133" s="143"/>
      <c r="BK133" s="143"/>
      <c r="BL133" s="143"/>
      <c r="BM133" s="143"/>
      <c r="BN133" s="143"/>
      <c r="IR133" s="9">
        <f>AS133*0</f>
        <v>0</v>
      </c>
      <c r="IS133" s="9">
        <f>AS133*(1-0)</f>
        <v>29.4</v>
      </c>
    </row>
    <row r="134" spans="1:253">
      <c r="A134" s="155" t="s">
        <v>113</v>
      </c>
      <c r="B134" s="156"/>
      <c r="C134" s="155" t="s">
        <v>329</v>
      </c>
      <c r="D134" s="156"/>
      <c r="E134" s="156"/>
      <c r="F134" s="156"/>
      <c r="G134" s="156"/>
      <c r="H134" s="156"/>
      <c r="I134" s="155" t="s">
        <v>531</v>
      </c>
      <c r="J134" s="156"/>
      <c r="K134" s="156"/>
      <c r="L134" s="156"/>
      <c r="M134" s="156"/>
      <c r="N134" s="156"/>
      <c r="O134" s="156"/>
      <c r="P134" s="156"/>
      <c r="Q134" s="156"/>
      <c r="R134" s="156"/>
      <c r="S134" s="156"/>
      <c r="T134" s="156"/>
      <c r="U134" s="156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/>
      <c r="AF134" s="156"/>
      <c r="AG134" s="156"/>
      <c r="AH134" s="156"/>
      <c r="AI134" s="156"/>
      <c r="AJ134" s="156"/>
      <c r="AK134" s="156"/>
      <c r="AL134" s="155" t="s">
        <v>636</v>
      </c>
      <c r="AM134" s="156"/>
      <c r="AN134" s="153">
        <v>131.22999999999999</v>
      </c>
      <c r="AO134" s="154"/>
      <c r="AP134" s="154"/>
      <c r="AQ134" s="154"/>
      <c r="AR134" s="154"/>
      <c r="AS134" s="153">
        <v>8.4499999999999993</v>
      </c>
      <c r="AT134" s="154"/>
      <c r="AU134" s="154"/>
      <c r="AV134" s="154"/>
      <c r="AW134" s="154"/>
      <c r="AX134" s="154"/>
      <c r="AY134" s="154"/>
      <c r="AZ134" s="154"/>
      <c r="BA134" s="153">
        <f>IR134*AN134+IS134*AN134</f>
        <v>1108.8934999999999</v>
      </c>
      <c r="BB134" s="154"/>
      <c r="BC134" s="154"/>
      <c r="BD134" s="154"/>
      <c r="BE134" s="154"/>
      <c r="BF134" s="154"/>
      <c r="BG134" s="154"/>
      <c r="BH134" s="154"/>
      <c r="BI134" s="155" t="s">
        <v>653</v>
      </c>
      <c r="BJ134" s="156"/>
      <c r="BK134" s="156"/>
      <c r="BL134" s="156"/>
      <c r="BM134" s="156"/>
      <c r="BN134" s="156"/>
      <c r="IR134" s="10">
        <f>AS134*1</f>
        <v>8.4499999999999993</v>
      </c>
      <c r="IS134" s="10">
        <f>AS134*(1-1)</f>
        <v>0</v>
      </c>
    </row>
    <row r="135" spans="1:253">
      <c r="A135" s="148" t="s">
        <v>6</v>
      </c>
      <c r="B135" s="149"/>
      <c r="C135" s="148" t="s">
        <v>63</v>
      </c>
      <c r="D135" s="149"/>
      <c r="E135" s="149"/>
      <c r="F135" s="149"/>
      <c r="G135" s="149"/>
      <c r="H135" s="149"/>
      <c r="I135" s="148" t="s">
        <v>532</v>
      </c>
      <c r="J135" s="149"/>
      <c r="K135" s="149"/>
      <c r="L135" s="149"/>
      <c r="M135" s="149"/>
      <c r="N135" s="149"/>
      <c r="O135" s="149"/>
      <c r="P135" s="149"/>
      <c r="Q135" s="149"/>
      <c r="R135" s="149"/>
      <c r="S135" s="149"/>
      <c r="T135" s="149"/>
      <c r="U135" s="149"/>
      <c r="V135" s="149"/>
      <c r="W135" s="149"/>
      <c r="X135" s="149"/>
      <c r="Y135" s="149"/>
      <c r="Z135" s="149"/>
      <c r="AA135" s="149"/>
      <c r="AB135" s="149"/>
      <c r="AC135" s="149"/>
      <c r="AD135" s="149"/>
      <c r="AE135" s="149"/>
      <c r="AF135" s="149"/>
      <c r="AG135" s="149"/>
      <c r="AH135" s="149"/>
      <c r="AI135" s="149"/>
      <c r="AJ135" s="149"/>
      <c r="AK135" s="149"/>
      <c r="AL135" s="148" t="s">
        <v>6</v>
      </c>
      <c r="AM135" s="149"/>
      <c r="AN135" s="144" t="s">
        <v>6</v>
      </c>
      <c r="AO135" s="145"/>
      <c r="AP135" s="145"/>
      <c r="AQ135" s="145"/>
      <c r="AR135" s="145"/>
      <c r="AS135" s="144" t="s">
        <v>6</v>
      </c>
      <c r="AT135" s="145"/>
      <c r="AU135" s="145"/>
      <c r="AV135" s="145"/>
      <c r="AW135" s="145"/>
      <c r="AX135" s="145"/>
      <c r="AY135" s="145"/>
      <c r="AZ135" s="145"/>
      <c r="BA135" s="152">
        <f>SUM(BA136:BA141)</f>
        <v>644945.58000000007</v>
      </c>
      <c r="BB135" s="145"/>
      <c r="BC135" s="145"/>
      <c r="BD135" s="145"/>
      <c r="BE135" s="145"/>
      <c r="BF135" s="145"/>
      <c r="BG135" s="145"/>
      <c r="BH135" s="145"/>
      <c r="BI135" s="148" t="s">
        <v>6</v>
      </c>
      <c r="BJ135" s="149"/>
      <c r="BK135" s="149"/>
      <c r="BL135" s="149"/>
      <c r="BM135" s="149"/>
      <c r="BN135" s="149"/>
    </row>
    <row r="136" spans="1:253">
      <c r="A136" s="142" t="s">
        <v>114</v>
      </c>
      <c r="B136" s="143"/>
      <c r="C136" s="142" t="s">
        <v>330</v>
      </c>
      <c r="D136" s="143"/>
      <c r="E136" s="143"/>
      <c r="F136" s="143"/>
      <c r="G136" s="143"/>
      <c r="H136" s="143"/>
      <c r="I136" s="142" t="s">
        <v>533</v>
      </c>
      <c r="J136" s="143"/>
      <c r="K136" s="143"/>
      <c r="L136" s="143"/>
      <c r="M136" s="143"/>
      <c r="N136" s="143"/>
      <c r="O136" s="143"/>
      <c r="P136" s="143"/>
      <c r="Q136" s="143"/>
      <c r="R136" s="143"/>
      <c r="S136" s="143"/>
      <c r="T136" s="143"/>
      <c r="U136" s="143"/>
      <c r="V136" s="143"/>
      <c r="W136" s="143"/>
      <c r="X136" s="143"/>
      <c r="Y136" s="143"/>
      <c r="Z136" s="143"/>
      <c r="AA136" s="143"/>
      <c r="AB136" s="143"/>
      <c r="AC136" s="143"/>
      <c r="AD136" s="143"/>
      <c r="AE136" s="143"/>
      <c r="AF136" s="143"/>
      <c r="AG136" s="143"/>
      <c r="AH136" s="143"/>
      <c r="AI136" s="143"/>
      <c r="AJ136" s="143"/>
      <c r="AK136" s="143"/>
      <c r="AL136" s="142" t="s">
        <v>636</v>
      </c>
      <c r="AM136" s="143"/>
      <c r="AN136" s="140">
        <v>622</v>
      </c>
      <c r="AO136" s="141"/>
      <c r="AP136" s="141"/>
      <c r="AQ136" s="141"/>
      <c r="AR136" s="141"/>
      <c r="AS136" s="140">
        <v>338.99</v>
      </c>
      <c r="AT136" s="141"/>
      <c r="AU136" s="141"/>
      <c r="AV136" s="141"/>
      <c r="AW136" s="141"/>
      <c r="AX136" s="141"/>
      <c r="AY136" s="141"/>
      <c r="AZ136" s="141"/>
      <c r="BA136" s="140">
        <f>IR136*AN136+IS136*AN136</f>
        <v>210851.78000000003</v>
      </c>
      <c r="BB136" s="141"/>
      <c r="BC136" s="141"/>
      <c r="BD136" s="141"/>
      <c r="BE136" s="141"/>
      <c r="BF136" s="141"/>
      <c r="BG136" s="141"/>
      <c r="BH136" s="141"/>
      <c r="BI136" s="142" t="s">
        <v>653</v>
      </c>
      <c r="BJ136" s="143"/>
      <c r="BK136" s="143"/>
      <c r="BL136" s="143"/>
      <c r="BM136" s="143"/>
      <c r="BN136" s="143"/>
      <c r="IR136" s="9">
        <f>AS136*0.626095165049116</f>
        <v>212.23999999999984</v>
      </c>
      <c r="IS136" s="9">
        <f>AS136*(1-0.626095165049116)</f>
        <v>126.75000000000017</v>
      </c>
    </row>
    <row r="137" spans="1:253">
      <c r="A137" s="142"/>
      <c r="B137" s="143"/>
      <c r="C137" s="143"/>
      <c r="D137" s="143"/>
      <c r="E137" s="143"/>
      <c r="F137" s="143"/>
      <c r="G137" s="143"/>
      <c r="H137" s="143"/>
      <c r="I137" s="150" t="s">
        <v>534</v>
      </c>
      <c r="J137" s="151"/>
      <c r="K137" s="151"/>
      <c r="L137" s="151"/>
      <c r="M137" s="151"/>
      <c r="N137" s="151"/>
      <c r="O137" s="151"/>
      <c r="P137" s="151"/>
      <c r="Q137" s="151"/>
      <c r="R137" s="151"/>
      <c r="S137" s="151"/>
      <c r="T137" s="151"/>
      <c r="U137" s="15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/>
      <c r="AH137" s="151"/>
      <c r="AI137" s="151"/>
      <c r="AJ137" s="151"/>
      <c r="AK137" s="151"/>
      <c r="AL137" s="142"/>
      <c r="AM137" s="143"/>
      <c r="AN137" s="143"/>
      <c r="AO137" s="143"/>
      <c r="AP137" s="143"/>
      <c r="AQ137" s="143"/>
      <c r="AR137" s="143"/>
      <c r="AS137" s="143"/>
      <c r="AT137" s="143"/>
      <c r="AU137" s="143"/>
      <c r="AV137" s="143"/>
      <c r="AW137" s="143"/>
      <c r="AX137" s="143"/>
      <c r="AY137" s="143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3"/>
      <c r="BJ137" s="143"/>
      <c r="BK137" s="143"/>
      <c r="BL137" s="143"/>
      <c r="BM137" s="143"/>
      <c r="BN137" s="143"/>
    </row>
    <row r="138" spans="1:253">
      <c r="A138" s="142" t="s">
        <v>115</v>
      </c>
      <c r="B138" s="143"/>
      <c r="C138" s="142" t="s">
        <v>331</v>
      </c>
      <c r="D138" s="143"/>
      <c r="E138" s="143"/>
      <c r="F138" s="143"/>
      <c r="G138" s="143"/>
      <c r="H138" s="143"/>
      <c r="I138" s="142" t="s">
        <v>535</v>
      </c>
      <c r="J138" s="143"/>
      <c r="K138" s="143"/>
      <c r="L138" s="143"/>
      <c r="M138" s="143"/>
      <c r="N138" s="143"/>
      <c r="O138" s="143"/>
      <c r="P138" s="143"/>
      <c r="Q138" s="143"/>
      <c r="R138" s="143"/>
      <c r="S138" s="143"/>
      <c r="T138" s="143"/>
      <c r="U138" s="143"/>
      <c r="V138" s="143"/>
      <c r="W138" s="143"/>
      <c r="X138" s="143"/>
      <c r="Y138" s="143"/>
      <c r="Z138" s="143"/>
      <c r="AA138" s="143"/>
      <c r="AB138" s="143"/>
      <c r="AC138" s="143"/>
      <c r="AD138" s="143"/>
      <c r="AE138" s="143"/>
      <c r="AF138" s="143"/>
      <c r="AG138" s="143"/>
      <c r="AH138" s="143"/>
      <c r="AI138" s="143"/>
      <c r="AJ138" s="143"/>
      <c r="AK138" s="143"/>
      <c r="AL138" s="142" t="s">
        <v>636</v>
      </c>
      <c r="AM138" s="143"/>
      <c r="AN138" s="140">
        <v>622</v>
      </c>
      <c r="AO138" s="141"/>
      <c r="AP138" s="141"/>
      <c r="AQ138" s="141"/>
      <c r="AR138" s="141"/>
      <c r="AS138" s="140">
        <v>13.51</v>
      </c>
      <c r="AT138" s="141"/>
      <c r="AU138" s="141"/>
      <c r="AV138" s="141"/>
      <c r="AW138" s="141"/>
      <c r="AX138" s="141"/>
      <c r="AY138" s="141"/>
      <c r="AZ138" s="141"/>
      <c r="BA138" s="140">
        <f>IR138*AN138+IS138*AN138</f>
        <v>8403.2199999999993</v>
      </c>
      <c r="BB138" s="141"/>
      <c r="BC138" s="141"/>
      <c r="BD138" s="141"/>
      <c r="BE138" s="141"/>
      <c r="BF138" s="141"/>
      <c r="BG138" s="141"/>
      <c r="BH138" s="141"/>
      <c r="BI138" s="142" t="s">
        <v>653</v>
      </c>
      <c r="BJ138" s="143"/>
      <c r="BK138" s="143"/>
      <c r="BL138" s="143"/>
      <c r="BM138" s="143"/>
      <c r="BN138" s="143"/>
      <c r="IR138" s="9">
        <f>AS138*0.919319022945966</f>
        <v>12.42</v>
      </c>
      <c r="IS138" s="9">
        <f>AS138*(1-0.919319022945966)</f>
        <v>1.0899999999999992</v>
      </c>
    </row>
    <row r="139" spans="1:253">
      <c r="A139" s="142" t="s">
        <v>116</v>
      </c>
      <c r="B139" s="143"/>
      <c r="C139" s="142" t="s">
        <v>332</v>
      </c>
      <c r="D139" s="143"/>
      <c r="E139" s="143"/>
      <c r="F139" s="143"/>
      <c r="G139" s="143"/>
      <c r="H139" s="143"/>
      <c r="I139" s="142" t="s">
        <v>536</v>
      </c>
      <c r="J139" s="143"/>
      <c r="K139" s="143"/>
      <c r="L139" s="143"/>
      <c r="M139" s="143"/>
      <c r="N139" s="143"/>
      <c r="O139" s="143"/>
      <c r="P139" s="143"/>
      <c r="Q139" s="143"/>
      <c r="R139" s="143"/>
      <c r="S139" s="143"/>
      <c r="T139" s="143"/>
      <c r="U139" s="143"/>
      <c r="V139" s="143"/>
      <c r="W139" s="143"/>
      <c r="X139" s="143"/>
      <c r="Y139" s="143"/>
      <c r="Z139" s="143"/>
      <c r="AA139" s="143"/>
      <c r="AB139" s="143"/>
      <c r="AC139" s="143"/>
      <c r="AD139" s="143"/>
      <c r="AE139" s="143"/>
      <c r="AF139" s="143"/>
      <c r="AG139" s="143"/>
      <c r="AH139" s="143"/>
      <c r="AI139" s="143"/>
      <c r="AJ139" s="143"/>
      <c r="AK139" s="143"/>
      <c r="AL139" s="142" t="s">
        <v>636</v>
      </c>
      <c r="AM139" s="143"/>
      <c r="AN139" s="140">
        <v>622</v>
      </c>
      <c r="AO139" s="141"/>
      <c r="AP139" s="141"/>
      <c r="AQ139" s="141"/>
      <c r="AR139" s="141"/>
      <c r="AS139" s="140">
        <v>665.99</v>
      </c>
      <c r="AT139" s="141"/>
      <c r="AU139" s="141"/>
      <c r="AV139" s="141"/>
      <c r="AW139" s="141"/>
      <c r="AX139" s="141"/>
      <c r="AY139" s="141"/>
      <c r="AZ139" s="141"/>
      <c r="BA139" s="140">
        <f>IR139*AN139+IS139*AN139</f>
        <v>414245.78</v>
      </c>
      <c r="BB139" s="141"/>
      <c r="BC139" s="141"/>
      <c r="BD139" s="141"/>
      <c r="BE139" s="141"/>
      <c r="BF139" s="141"/>
      <c r="BG139" s="141"/>
      <c r="BH139" s="141"/>
      <c r="BI139" s="142" t="s">
        <v>653</v>
      </c>
      <c r="BJ139" s="143"/>
      <c r="BK139" s="143"/>
      <c r="BL139" s="143"/>
      <c r="BM139" s="143"/>
      <c r="BN139" s="143"/>
      <c r="IR139" s="9">
        <f>AS139*0.655820657967837</f>
        <v>436.76999999999975</v>
      </c>
      <c r="IS139" s="9">
        <f>AS139*(1-0.655820657967837)</f>
        <v>229.22000000000028</v>
      </c>
    </row>
    <row r="140" spans="1:253">
      <c r="A140" s="142"/>
      <c r="B140" s="143"/>
      <c r="C140" s="143"/>
      <c r="D140" s="143"/>
      <c r="E140" s="143"/>
      <c r="F140" s="143"/>
      <c r="G140" s="143"/>
      <c r="H140" s="143"/>
      <c r="I140" s="150" t="s">
        <v>534</v>
      </c>
      <c r="J140" s="151"/>
      <c r="K140" s="151"/>
      <c r="L140" s="151"/>
      <c r="M140" s="151"/>
      <c r="N140" s="151"/>
      <c r="O140" s="151"/>
      <c r="P140" s="151"/>
      <c r="Q140" s="151"/>
      <c r="R140" s="151"/>
      <c r="S140" s="151"/>
      <c r="T140" s="151"/>
      <c r="U140" s="15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/>
      <c r="AH140" s="151"/>
      <c r="AI140" s="151"/>
      <c r="AJ140" s="151"/>
      <c r="AK140" s="151"/>
      <c r="AL140" s="142"/>
      <c r="AM140" s="143"/>
      <c r="AN140" s="143"/>
      <c r="AO140" s="143"/>
      <c r="AP140" s="143"/>
      <c r="AQ140" s="143"/>
      <c r="AR140" s="143"/>
      <c r="AS140" s="143"/>
      <c r="AT140" s="143"/>
      <c r="AU140" s="143"/>
      <c r="AV140" s="143"/>
      <c r="AW140" s="143"/>
      <c r="AX140" s="143"/>
      <c r="AY140" s="143"/>
      <c r="AZ140" s="143"/>
      <c r="BA140" s="143"/>
      <c r="BB140" s="143"/>
      <c r="BC140" s="143"/>
      <c r="BD140" s="143"/>
      <c r="BE140" s="143"/>
      <c r="BF140" s="143"/>
      <c r="BG140" s="143"/>
      <c r="BH140" s="143"/>
      <c r="BI140" s="143"/>
      <c r="BJ140" s="143"/>
      <c r="BK140" s="143"/>
      <c r="BL140" s="143"/>
      <c r="BM140" s="143"/>
      <c r="BN140" s="143"/>
    </row>
    <row r="141" spans="1:253">
      <c r="A141" s="142" t="s">
        <v>117</v>
      </c>
      <c r="B141" s="143"/>
      <c r="C141" s="142" t="s">
        <v>333</v>
      </c>
      <c r="D141" s="143"/>
      <c r="E141" s="143"/>
      <c r="F141" s="143"/>
      <c r="G141" s="143"/>
      <c r="H141" s="143"/>
      <c r="I141" s="142" t="s">
        <v>537</v>
      </c>
      <c r="J141" s="143"/>
      <c r="K141" s="143"/>
      <c r="L141" s="143"/>
      <c r="M141" s="143"/>
      <c r="N141" s="143"/>
      <c r="O141" s="143"/>
      <c r="P141" s="143"/>
      <c r="Q141" s="143"/>
      <c r="R141" s="143"/>
      <c r="S141" s="143"/>
      <c r="T141" s="143"/>
      <c r="U141" s="143"/>
      <c r="V141" s="143"/>
      <c r="W141" s="143"/>
      <c r="X141" s="143"/>
      <c r="Y141" s="143"/>
      <c r="Z141" s="143"/>
      <c r="AA141" s="143"/>
      <c r="AB141" s="143"/>
      <c r="AC141" s="143"/>
      <c r="AD141" s="143"/>
      <c r="AE141" s="143"/>
      <c r="AF141" s="143"/>
      <c r="AG141" s="143"/>
      <c r="AH141" s="143"/>
      <c r="AI141" s="143"/>
      <c r="AJ141" s="143"/>
      <c r="AK141" s="143"/>
      <c r="AL141" s="142" t="s">
        <v>636</v>
      </c>
      <c r="AM141" s="143"/>
      <c r="AN141" s="140">
        <v>622</v>
      </c>
      <c r="AO141" s="141"/>
      <c r="AP141" s="141"/>
      <c r="AQ141" s="141"/>
      <c r="AR141" s="141"/>
      <c r="AS141" s="140">
        <v>18.399999999999999</v>
      </c>
      <c r="AT141" s="141"/>
      <c r="AU141" s="141"/>
      <c r="AV141" s="141"/>
      <c r="AW141" s="141"/>
      <c r="AX141" s="141"/>
      <c r="AY141" s="141"/>
      <c r="AZ141" s="141"/>
      <c r="BA141" s="140">
        <f>IR141*AN141+IS141*AN141</f>
        <v>11444.8</v>
      </c>
      <c r="BB141" s="141"/>
      <c r="BC141" s="141"/>
      <c r="BD141" s="141"/>
      <c r="BE141" s="141"/>
      <c r="BF141" s="141"/>
      <c r="BG141" s="141"/>
      <c r="BH141" s="141"/>
      <c r="BI141" s="142" t="s">
        <v>653</v>
      </c>
      <c r="BJ141" s="143"/>
      <c r="BK141" s="143"/>
      <c r="BL141" s="143"/>
      <c r="BM141" s="143"/>
      <c r="BN141" s="143"/>
      <c r="IR141" s="9">
        <f>AS141*0.335326086956522</f>
        <v>6.1700000000000044</v>
      </c>
      <c r="IS141" s="9">
        <f>AS141*(1-0.335326086956522)</f>
        <v>12.229999999999995</v>
      </c>
    </row>
    <row r="142" spans="1:253">
      <c r="A142" s="148" t="s">
        <v>6</v>
      </c>
      <c r="B142" s="149"/>
      <c r="C142" s="148" t="s">
        <v>65</v>
      </c>
      <c r="D142" s="149"/>
      <c r="E142" s="149"/>
      <c r="F142" s="149"/>
      <c r="G142" s="149"/>
      <c r="H142" s="149"/>
      <c r="I142" s="148" t="s">
        <v>538</v>
      </c>
      <c r="J142" s="149"/>
      <c r="K142" s="149"/>
      <c r="L142" s="149"/>
      <c r="M142" s="149"/>
      <c r="N142" s="149"/>
      <c r="O142" s="149"/>
      <c r="P142" s="149"/>
      <c r="Q142" s="149"/>
      <c r="R142" s="149"/>
      <c r="S142" s="149"/>
      <c r="T142" s="149"/>
      <c r="U142" s="149"/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/>
      <c r="AF142" s="149"/>
      <c r="AG142" s="149"/>
      <c r="AH142" s="149"/>
      <c r="AI142" s="149"/>
      <c r="AJ142" s="149"/>
      <c r="AK142" s="149"/>
      <c r="AL142" s="148" t="s">
        <v>6</v>
      </c>
      <c r="AM142" s="149"/>
      <c r="AN142" s="144" t="s">
        <v>6</v>
      </c>
      <c r="AO142" s="145"/>
      <c r="AP142" s="145"/>
      <c r="AQ142" s="145"/>
      <c r="AR142" s="145"/>
      <c r="AS142" s="144" t="s">
        <v>6</v>
      </c>
      <c r="AT142" s="145"/>
      <c r="AU142" s="145"/>
      <c r="AV142" s="145"/>
      <c r="AW142" s="145"/>
      <c r="AX142" s="145"/>
      <c r="AY142" s="145"/>
      <c r="AZ142" s="145"/>
      <c r="BA142" s="152">
        <f>SUM(BA143:BA151)</f>
        <v>65360.376000000004</v>
      </c>
      <c r="BB142" s="145"/>
      <c r="BC142" s="145"/>
      <c r="BD142" s="145"/>
      <c r="BE142" s="145"/>
      <c r="BF142" s="145"/>
      <c r="BG142" s="145"/>
      <c r="BH142" s="145"/>
      <c r="BI142" s="148" t="s">
        <v>6</v>
      </c>
      <c r="BJ142" s="149"/>
      <c r="BK142" s="149"/>
      <c r="BL142" s="149"/>
      <c r="BM142" s="149"/>
      <c r="BN142" s="149"/>
    </row>
    <row r="143" spans="1:253">
      <c r="A143" s="142" t="s">
        <v>118</v>
      </c>
      <c r="B143" s="143"/>
      <c r="C143" s="142" t="s">
        <v>334</v>
      </c>
      <c r="D143" s="143"/>
      <c r="E143" s="143"/>
      <c r="F143" s="143"/>
      <c r="G143" s="143"/>
      <c r="H143" s="143"/>
      <c r="I143" s="142" t="s">
        <v>539</v>
      </c>
      <c r="J143" s="143"/>
      <c r="K143" s="143"/>
      <c r="L143" s="143"/>
      <c r="M143" s="143"/>
      <c r="N143" s="143"/>
      <c r="O143" s="143"/>
      <c r="P143" s="143"/>
      <c r="Q143" s="143"/>
      <c r="R143" s="143"/>
      <c r="S143" s="143"/>
      <c r="T143" s="143"/>
      <c r="U143" s="143"/>
      <c r="V143" s="143"/>
      <c r="W143" s="143"/>
      <c r="X143" s="143"/>
      <c r="Y143" s="143"/>
      <c r="Z143" s="143"/>
      <c r="AA143" s="143"/>
      <c r="AB143" s="143"/>
      <c r="AC143" s="143"/>
      <c r="AD143" s="143"/>
      <c r="AE143" s="143"/>
      <c r="AF143" s="143"/>
      <c r="AG143" s="143"/>
      <c r="AH143" s="143"/>
      <c r="AI143" s="143"/>
      <c r="AJ143" s="143"/>
      <c r="AK143" s="143"/>
      <c r="AL143" s="142" t="s">
        <v>636</v>
      </c>
      <c r="AM143" s="143"/>
      <c r="AN143" s="140">
        <v>19.25</v>
      </c>
      <c r="AO143" s="141"/>
      <c r="AP143" s="141"/>
      <c r="AQ143" s="141"/>
      <c r="AR143" s="141"/>
      <c r="AS143" s="140">
        <v>268</v>
      </c>
      <c r="AT143" s="141"/>
      <c r="AU143" s="141"/>
      <c r="AV143" s="141"/>
      <c r="AW143" s="141"/>
      <c r="AX143" s="141"/>
      <c r="AY143" s="141"/>
      <c r="AZ143" s="141"/>
      <c r="BA143" s="140">
        <f>IR143*AN143+IS143*AN143</f>
        <v>5159</v>
      </c>
      <c r="BB143" s="141"/>
      <c r="BC143" s="141"/>
      <c r="BD143" s="141"/>
      <c r="BE143" s="141"/>
      <c r="BF143" s="141"/>
      <c r="BG143" s="141"/>
      <c r="BH143" s="141"/>
      <c r="BI143" s="142" t="s">
        <v>653</v>
      </c>
      <c r="BJ143" s="143"/>
      <c r="BK143" s="143"/>
      <c r="BL143" s="143"/>
      <c r="BM143" s="143"/>
      <c r="BN143" s="143"/>
      <c r="IR143" s="9">
        <f>AS143*0.146007462686567</f>
        <v>39.12999999999996</v>
      </c>
      <c r="IS143" s="9">
        <f>AS143*(1-0.146007462686567)</f>
        <v>228.87000000000003</v>
      </c>
    </row>
    <row r="144" spans="1:253">
      <c r="A144" s="142" t="s">
        <v>119</v>
      </c>
      <c r="B144" s="143"/>
      <c r="C144" s="142" t="s">
        <v>335</v>
      </c>
      <c r="D144" s="143"/>
      <c r="E144" s="143"/>
      <c r="F144" s="143"/>
      <c r="G144" s="143"/>
      <c r="H144" s="143"/>
      <c r="I144" s="142" t="s">
        <v>540</v>
      </c>
      <c r="J144" s="143"/>
      <c r="K144" s="143"/>
      <c r="L144" s="143"/>
      <c r="M144" s="143"/>
      <c r="N144" s="143"/>
      <c r="O144" s="143"/>
      <c r="P144" s="143"/>
      <c r="Q144" s="143"/>
      <c r="R144" s="143"/>
      <c r="S144" s="143"/>
      <c r="T144" s="143"/>
      <c r="U144" s="143"/>
      <c r="V144" s="143"/>
      <c r="W144" s="143"/>
      <c r="X144" s="143"/>
      <c r="Y144" s="143"/>
      <c r="Z144" s="143"/>
      <c r="AA144" s="143"/>
      <c r="AB144" s="143"/>
      <c r="AC144" s="143"/>
      <c r="AD144" s="143"/>
      <c r="AE144" s="143"/>
      <c r="AF144" s="143"/>
      <c r="AG144" s="143"/>
      <c r="AH144" s="143"/>
      <c r="AI144" s="143"/>
      <c r="AJ144" s="143"/>
      <c r="AK144" s="143"/>
      <c r="AL144" s="142" t="s">
        <v>635</v>
      </c>
      <c r="AM144" s="143"/>
      <c r="AN144" s="140">
        <v>5.3</v>
      </c>
      <c r="AO144" s="141"/>
      <c r="AP144" s="141"/>
      <c r="AQ144" s="141"/>
      <c r="AR144" s="141"/>
      <c r="AS144" s="140">
        <v>1682</v>
      </c>
      <c r="AT144" s="141"/>
      <c r="AU144" s="141"/>
      <c r="AV144" s="141"/>
      <c r="AW144" s="141"/>
      <c r="AX144" s="141"/>
      <c r="AY144" s="141"/>
      <c r="AZ144" s="141"/>
      <c r="BA144" s="140">
        <f>IR144*AN144+IS144*AN144</f>
        <v>8914.5999999999985</v>
      </c>
      <c r="BB144" s="141"/>
      <c r="BC144" s="141"/>
      <c r="BD144" s="141"/>
      <c r="BE144" s="141"/>
      <c r="BF144" s="141"/>
      <c r="BG144" s="141"/>
      <c r="BH144" s="141"/>
      <c r="BI144" s="142" t="s">
        <v>655</v>
      </c>
      <c r="BJ144" s="143"/>
      <c r="BK144" s="143"/>
      <c r="BL144" s="143"/>
      <c r="BM144" s="143"/>
      <c r="BN144" s="143"/>
      <c r="IR144" s="9">
        <f>AS144*0.597086801426873</f>
        <v>1004.3000000000004</v>
      </c>
      <c r="IS144" s="9">
        <f>AS144*(1-0.597086801426873)</f>
        <v>677.69999999999959</v>
      </c>
    </row>
    <row r="145" spans="1:253">
      <c r="A145" s="142"/>
      <c r="B145" s="143"/>
      <c r="C145" s="143"/>
      <c r="D145" s="143"/>
      <c r="E145" s="143"/>
      <c r="F145" s="143"/>
      <c r="G145" s="143"/>
      <c r="H145" s="143"/>
      <c r="I145" s="150" t="s">
        <v>541</v>
      </c>
      <c r="J145" s="151"/>
      <c r="K145" s="151"/>
      <c r="L145" s="151"/>
      <c r="M145" s="151"/>
      <c r="N145" s="151"/>
      <c r="O145" s="151"/>
      <c r="P145" s="151"/>
      <c r="Q145" s="151"/>
      <c r="R145" s="151"/>
      <c r="S145" s="151"/>
      <c r="T145" s="151"/>
      <c r="U145" s="15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/>
      <c r="AH145" s="151"/>
      <c r="AI145" s="151"/>
      <c r="AJ145" s="151"/>
      <c r="AK145" s="151"/>
      <c r="AL145" s="142"/>
      <c r="AM145" s="143"/>
      <c r="AN145" s="143"/>
      <c r="AO145" s="143"/>
      <c r="AP145" s="143"/>
      <c r="AQ145" s="143"/>
      <c r="AR145" s="143"/>
      <c r="AS145" s="143"/>
      <c r="AT145" s="143"/>
      <c r="AU145" s="143"/>
      <c r="AV145" s="143"/>
      <c r="AW145" s="143"/>
      <c r="AX145" s="143"/>
      <c r="AY145" s="143"/>
      <c r="AZ145" s="143"/>
      <c r="BA145" s="143"/>
      <c r="BB145" s="143"/>
      <c r="BC145" s="143"/>
      <c r="BD145" s="143"/>
      <c r="BE145" s="143"/>
      <c r="BF145" s="143"/>
      <c r="BG145" s="143"/>
      <c r="BH145" s="143"/>
      <c r="BI145" s="143"/>
      <c r="BJ145" s="143"/>
      <c r="BK145" s="143"/>
      <c r="BL145" s="143"/>
      <c r="BM145" s="143"/>
      <c r="BN145" s="143"/>
    </row>
    <row r="146" spans="1:253">
      <c r="A146" s="142" t="s">
        <v>120</v>
      </c>
      <c r="B146" s="143"/>
      <c r="C146" s="142" t="s">
        <v>334</v>
      </c>
      <c r="D146" s="143"/>
      <c r="E146" s="143"/>
      <c r="F146" s="143"/>
      <c r="G146" s="143"/>
      <c r="H146" s="143"/>
      <c r="I146" s="142" t="s">
        <v>539</v>
      </c>
      <c r="J146" s="143"/>
      <c r="K146" s="143"/>
      <c r="L146" s="143"/>
      <c r="M146" s="143"/>
      <c r="N146" s="143"/>
      <c r="O146" s="143"/>
      <c r="P146" s="143"/>
      <c r="Q146" s="143"/>
      <c r="R146" s="143"/>
      <c r="S146" s="143"/>
      <c r="T146" s="143"/>
      <c r="U146" s="143"/>
      <c r="V146" s="143"/>
      <c r="W146" s="143"/>
      <c r="X146" s="143"/>
      <c r="Y146" s="143"/>
      <c r="Z146" s="143"/>
      <c r="AA146" s="143"/>
      <c r="AB146" s="143"/>
      <c r="AC146" s="143"/>
      <c r="AD146" s="143"/>
      <c r="AE146" s="143"/>
      <c r="AF146" s="143"/>
      <c r="AG146" s="143"/>
      <c r="AH146" s="143"/>
      <c r="AI146" s="143"/>
      <c r="AJ146" s="143"/>
      <c r="AK146" s="143"/>
      <c r="AL146" s="142" t="s">
        <v>636</v>
      </c>
      <c r="AM146" s="143"/>
      <c r="AN146" s="140">
        <v>51.25</v>
      </c>
      <c r="AO146" s="141"/>
      <c r="AP146" s="141"/>
      <c r="AQ146" s="141"/>
      <c r="AR146" s="141"/>
      <c r="AS146" s="140">
        <v>268</v>
      </c>
      <c r="AT146" s="141"/>
      <c r="AU146" s="141"/>
      <c r="AV146" s="141"/>
      <c r="AW146" s="141"/>
      <c r="AX146" s="141"/>
      <c r="AY146" s="141"/>
      <c r="AZ146" s="141"/>
      <c r="BA146" s="140">
        <f>IR146*AN146+IS146*AN146</f>
        <v>13735</v>
      </c>
      <c r="BB146" s="141"/>
      <c r="BC146" s="141"/>
      <c r="BD146" s="141"/>
      <c r="BE146" s="141"/>
      <c r="BF146" s="141"/>
      <c r="BG146" s="141"/>
      <c r="BH146" s="141"/>
      <c r="BI146" s="142" t="s">
        <v>653</v>
      </c>
      <c r="BJ146" s="143"/>
      <c r="BK146" s="143"/>
      <c r="BL146" s="143"/>
      <c r="BM146" s="143"/>
      <c r="BN146" s="143"/>
      <c r="IR146" s="9">
        <f>AS146*0.146007462686567</f>
        <v>39.12999999999996</v>
      </c>
      <c r="IS146" s="9">
        <f>AS146*(1-0.146007462686567)</f>
        <v>228.87000000000003</v>
      </c>
    </row>
    <row r="147" spans="1:253">
      <c r="A147" s="155" t="s">
        <v>121</v>
      </c>
      <c r="B147" s="156"/>
      <c r="C147" s="155" t="s">
        <v>336</v>
      </c>
      <c r="D147" s="156"/>
      <c r="E147" s="156"/>
      <c r="F147" s="156"/>
      <c r="G147" s="156"/>
      <c r="H147" s="156"/>
      <c r="I147" s="155" t="s">
        <v>542</v>
      </c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  <c r="AA147" s="156"/>
      <c r="AB147" s="156"/>
      <c r="AC147" s="156"/>
      <c r="AD147" s="156"/>
      <c r="AE147" s="156"/>
      <c r="AF147" s="156"/>
      <c r="AG147" s="156"/>
      <c r="AH147" s="156"/>
      <c r="AI147" s="156"/>
      <c r="AJ147" s="156"/>
      <c r="AK147" s="156"/>
      <c r="AL147" s="155" t="s">
        <v>636</v>
      </c>
      <c r="AM147" s="156"/>
      <c r="AN147" s="153">
        <v>56.375</v>
      </c>
      <c r="AO147" s="154"/>
      <c r="AP147" s="154"/>
      <c r="AQ147" s="154"/>
      <c r="AR147" s="154"/>
      <c r="AS147" s="153">
        <v>324.83999999999997</v>
      </c>
      <c r="AT147" s="154"/>
      <c r="AU147" s="154"/>
      <c r="AV147" s="154"/>
      <c r="AW147" s="154"/>
      <c r="AX147" s="154"/>
      <c r="AY147" s="154"/>
      <c r="AZ147" s="154"/>
      <c r="BA147" s="153">
        <f>IR147*AN147+IS147*AN147</f>
        <v>18312.855</v>
      </c>
      <c r="BB147" s="154"/>
      <c r="BC147" s="154"/>
      <c r="BD147" s="154"/>
      <c r="BE147" s="154"/>
      <c r="BF147" s="154"/>
      <c r="BG147" s="154"/>
      <c r="BH147" s="154"/>
      <c r="BI147" s="155" t="s">
        <v>653</v>
      </c>
      <c r="BJ147" s="156"/>
      <c r="BK147" s="156"/>
      <c r="BL147" s="156"/>
      <c r="BM147" s="156"/>
      <c r="BN147" s="156"/>
      <c r="IR147" s="10">
        <f>AS147*1</f>
        <v>324.83999999999997</v>
      </c>
      <c r="IS147" s="10">
        <f>AS147*(1-1)</f>
        <v>0</v>
      </c>
    </row>
    <row r="148" spans="1:253">
      <c r="A148" s="142" t="s">
        <v>122</v>
      </c>
      <c r="B148" s="143"/>
      <c r="C148" s="142" t="s">
        <v>337</v>
      </c>
      <c r="D148" s="143"/>
      <c r="E148" s="143"/>
      <c r="F148" s="143"/>
      <c r="G148" s="143"/>
      <c r="H148" s="143"/>
      <c r="I148" s="142" t="s">
        <v>543</v>
      </c>
      <c r="J148" s="143"/>
      <c r="K148" s="143"/>
      <c r="L148" s="143"/>
      <c r="M148" s="143"/>
      <c r="N148" s="143"/>
      <c r="O148" s="143"/>
      <c r="P148" s="143"/>
      <c r="Q148" s="143"/>
      <c r="R148" s="143"/>
      <c r="S148" s="143"/>
      <c r="T148" s="143"/>
      <c r="U148" s="143"/>
      <c r="V148" s="143"/>
      <c r="W148" s="143"/>
      <c r="X148" s="143"/>
      <c r="Y148" s="143"/>
      <c r="Z148" s="143"/>
      <c r="AA148" s="143"/>
      <c r="AB148" s="143"/>
      <c r="AC148" s="143"/>
      <c r="AD148" s="143"/>
      <c r="AE148" s="143"/>
      <c r="AF148" s="143"/>
      <c r="AG148" s="143"/>
      <c r="AH148" s="143"/>
      <c r="AI148" s="143"/>
      <c r="AJ148" s="143"/>
      <c r="AK148" s="143"/>
      <c r="AL148" s="142" t="s">
        <v>635</v>
      </c>
      <c r="AM148" s="143"/>
      <c r="AN148" s="140">
        <v>45</v>
      </c>
      <c r="AO148" s="141"/>
      <c r="AP148" s="141"/>
      <c r="AQ148" s="141"/>
      <c r="AR148" s="141"/>
      <c r="AS148" s="140">
        <v>241</v>
      </c>
      <c r="AT148" s="141"/>
      <c r="AU148" s="141"/>
      <c r="AV148" s="141"/>
      <c r="AW148" s="141"/>
      <c r="AX148" s="141"/>
      <c r="AY148" s="141"/>
      <c r="AZ148" s="141"/>
      <c r="BA148" s="140">
        <f>IR148*AN148+IS148*AN148</f>
        <v>10845</v>
      </c>
      <c r="BB148" s="141"/>
      <c r="BC148" s="141"/>
      <c r="BD148" s="141"/>
      <c r="BE148" s="141"/>
      <c r="BF148" s="141"/>
      <c r="BG148" s="141"/>
      <c r="BH148" s="141"/>
      <c r="BI148" s="142" t="s">
        <v>653</v>
      </c>
      <c r="BJ148" s="143"/>
      <c r="BK148" s="143"/>
      <c r="BL148" s="143"/>
      <c r="BM148" s="143"/>
      <c r="BN148" s="143"/>
      <c r="IR148" s="9">
        <f>AS148*0.0596265560165975</f>
        <v>14.369999999999997</v>
      </c>
      <c r="IS148" s="9">
        <f>AS148*(1-0.0596265560165975)</f>
        <v>226.63</v>
      </c>
    </row>
    <row r="149" spans="1:253">
      <c r="A149" s="142" t="s">
        <v>123</v>
      </c>
      <c r="B149" s="143"/>
      <c r="C149" s="142" t="s">
        <v>338</v>
      </c>
      <c r="D149" s="143"/>
      <c r="E149" s="143"/>
      <c r="F149" s="143"/>
      <c r="G149" s="143"/>
      <c r="H149" s="143"/>
      <c r="I149" s="142" t="s">
        <v>544</v>
      </c>
      <c r="J149" s="143"/>
      <c r="K149" s="143"/>
      <c r="L149" s="143"/>
      <c r="M149" s="143"/>
      <c r="N149" s="143"/>
      <c r="O149" s="143"/>
      <c r="P149" s="143"/>
      <c r="Q149" s="143"/>
      <c r="R149" s="143"/>
      <c r="S149" s="143"/>
      <c r="T149" s="143"/>
      <c r="U149" s="143"/>
      <c r="V149" s="143"/>
      <c r="W149" s="143"/>
      <c r="X149" s="143"/>
      <c r="Y149" s="143"/>
      <c r="Z149" s="143"/>
      <c r="AA149" s="143"/>
      <c r="AB149" s="143"/>
      <c r="AC149" s="143"/>
      <c r="AD149" s="143"/>
      <c r="AE149" s="143"/>
      <c r="AF149" s="143"/>
      <c r="AG149" s="143"/>
      <c r="AH149" s="143"/>
      <c r="AI149" s="143"/>
      <c r="AJ149" s="143"/>
      <c r="AK149" s="143"/>
      <c r="AL149" s="142" t="s">
        <v>636</v>
      </c>
      <c r="AM149" s="143"/>
      <c r="AN149" s="140">
        <v>2.1</v>
      </c>
      <c r="AO149" s="141"/>
      <c r="AP149" s="141"/>
      <c r="AQ149" s="141"/>
      <c r="AR149" s="141"/>
      <c r="AS149" s="140">
        <v>435.01</v>
      </c>
      <c r="AT149" s="141"/>
      <c r="AU149" s="141"/>
      <c r="AV149" s="141"/>
      <c r="AW149" s="141"/>
      <c r="AX149" s="141"/>
      <c r="AY149" s="141"/>
      <c r="AZ149" s="141"/>
      <c r="BA149" s="140">
        <f>IR149*AN149+IS149*AN149</f>
        <v>913.52099999999996</v>
      </c>
      <c r="BB149" s="141"/>
      <c r="BC149" s="141"/>
      <c r="BD149" s="141"/>
      <c r="BE149" s="141"/>
      <c r="BF149" s="141"/>
      <c r="BG149" s="141"/>
      <c r="BH149" s="141"/>
      <c r="BI149" s="142" t="s">
        <v>653</v>
      </c>
      <c r="BJ149" s="143"/>
      <c r="BK149" s="143"/>
      <c r="BL149" s="143"/>
      <c r="BM149" s="143"/>
      <c r="BN149" s="143"/>
      <c r="IR149" s="9">
        <f>AS149*0.625985609526218</f>
        <v>272.31000000000006</v>
      </c>
      <c r="IS149" s="9">
        <f>AS149*(1-0.625985609526218)</f>
        <v>162.69999999999993</v>
      </c>
    </row>
    <row r="150" spans="1:253">
      <c r="A150" s="142"/>
      <c r="B150" s="143"/>
      <c r="C150" s="143"/>
      <c r="D150" s="143"/>
      <c r="E150" s="143"/>
      <c r="F150" s="143"/>
      <c r="G150" s="143"/>
      <c r="H150" s="143"/>
      <c r="I150" s="150" t="s">
        <v>545</v>
      </c>
      <c r="J150" s="151"/>
      <c r="K150" s="151"/>
      <c r="L150" s="151"/>
      <c r="M150" s="151"/>
      <c r="N150" s="151"/>
      <c r="O150" s="151"/>
      <c r="P150" s="151"/>
      <c r="Q150" s="151"/>
      <c r="R150" s="151"/>
      <c r="S150" s="151"/>
      <c r="T150" s="151"/>
      <c r="U150" s="15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/>
      <c r="AH150" s="151"/>
      <c r="AI150" s="151"/>
      <c r="AJ150" s="151"/>
      <c r="AK150" s="151"/>
      <c r="AL150" s="142"/>
      <c r="AM150" s="143"/>
      <c r="AN150" s="143"/>
      <c r="AO150" s="143"/>
      <c r="AP150" s="143"/>
      <c r="AQ150" s="143"/>
      <c r="AR150" s="143"/>
      <c r="AS150" s="143"/>
      <c r="AT150" s="143"/>
      <c r="AU150" s="143"/>
      <c r="AV150" s="143"/>
      <c r="AW150" s="143"/>
      <c r="AX150" s="143"/>
      <c r="AY150" s="143"/>
      <c r="AZ150" s="143"/>
      <c r="BA150" s="143"/>
      <c r="BB150" s="143"/>
      <c r="BC150" s="143"/>
      <c r="BD150" s="143"/>
      <c r="BE150" s="143"/>
      <c r="BF150" s="143"/>
      <c r="BG150" s="143"/>
      <c r="BH150" s="143"/>
      <c r="BI150" s="143"/>
      <c r="BJ150" s="143"/>
      <c r="BK150" s="143"/>
      <c r="BL150" s="143"/>
      <c r="BM150" s="143"/>
      <c r="BN150" s="143"/>
    </row>
    <row r="151" spans="1:253">
      <c r="A151" s="142" t="s">
        <v>124</v>
      </c>
      <c r="B151" s="143"/>
      <c r="C151" s="142" t="s">
        <v>339</v>
      </c>
      <c r="D151" s="143"/>
      <c r="E151" s="143"/>
      <c r="F151" s="143"/>
      <c r="G151" s="143"/>
      <c r="H151" s="143"/>
      <c r="I151" s="142" t="s">
        <v>544</v>
      </c>
      <c r="J151" s="143"/>
      <c r="K151" s="143"/>
      <c r="L151" s="143"/>
      <c r="M151" s="143"/>
      <c r="N151" s="143"/>
      <c r="O151" s="143"/>
      <c r="P151" s="143"/>
      <c r="Q151" s="143"/>
      <c r="R151" s="143"/>
      <c r="S151" s="143"/>
      <c r="T151" s="143"/>
      <c r="U151" s="143"/>
      <c r="V151" s="143"/>
      <c r="W151" s="143"/>
      <c r="X151" s="143"/>
      <c r="Y151" s="143"/>
      <c r="Z151" s="143"/>
      <c r="AA151" s="143"/>
      <c r="AB151" s="143"/>
      <c r="AC151" s="143"/>
      <c r="AD151" s="143"/>
      <c r="AE151" s="143"/>
      <c r="AF151" s="143"/>
      <c r="AG151" s="143"/>
      <c r="AH151" s="143"/>
      <c r="AI151" s="143"/>
      <c r="AJ151" s="143"/>
      <c r="AK151" s="143"/>
      <c r="AL151" s="142" t="s">
        <v>636</v>
      </c>
      <c r="AM151" s="143"/>
      <c r="AN151" s="140">
        <v>40</v>
      </c>
      <c r="AO151" s="141"/>
      <c r="AP151" s="141"/>
      <c r="AQ151" s="141"/>
      <c r="AR151" s="141"/>
      <c r="AS151" s="140">
        <v>187.01</v>
      </c>
      <c r="AT151" s="141"/>
      <c r="AU151" s="141"/>
      <c r="AV151" s="141"/>
      <c r="AW151" s="141"/>
      <c r="AX151" s="141"/>
      <c r="AY151" s="141"/>
      <c r="AZ151" s="141"/>
      <c r="BA151" s="140">
        <f>IR151*AN151+IS151*AN151</f>
        <v>7480.4000000000005</v>
      </c>
      <c r="BB151" s="141"/>
      <c r="BC151" s="141"/>
      <c r="BD151" s="141"/>
      <c r="BE151" s="141"/>
      <c r="BF151" s="141"/>
      <c r="BG151" s="141"/>
      <c r="BH151" s="141"/>
      <c r="BI151" s="142" t="s">
        <v>653</v>
      </c>
      <c r="BJ151" s="143"/>
      <c r="BK151" s="143"/>
      <c r="BL151" s="143"/>
      <c r="BM151" s="143"/>
      <c r="BN151" s="143"/>
      <c r="IR151" s="9">
        <f>AS151*0.129779156194856</f>
        <v>24.270000000000021</v>
      </c>
      <c r="IS151" s="9">
        <f>AS151*(1-0.129779156194856)</f>
        <v>162.73999999999998</v>
      </c>
    </row>
    <row r="152" spans="1:253">
      <c r="A152" s="148" t="s">
        <v>6</v>
      </c>
      <c r="B152" s="149"/>
      <c r="C152" s="148" t="s">
        <v>69</v>
      </c>
      <c r="D152" s="149"/>
      <c r="E152" s="149"/>
      <c r="F152" s="149"/>
      <c r="G152" s="149"/>
      <c r="H152" s="149"/>
      <c r="I152" s="148" t="s">
        <v>546</v>
      </c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  <c r="Z152" s="149"/>
      <c r="AA152" s="149"/>
      <c r="AB152" s="149"/>
      <c r="AC152" s="149"/>
      <c r="AD152" s="149"/>
      <c r="AE152" s="149"/>
      <c r="AF152" s="149"/>
      <c r="AG152" s="149"/>
      <c r="AH152" s="149"/>
      <c r="AI152" s="149"/>
      <c r="AJ152" s="149"/>
      <c r="AK152" s="149"/>
      <c r="AL152" s="148" t="s">
        <v>6</v>
      </c>
      <c r="AM152" s="149"/>
      <c r="AN152" s="144" t="s">
        <v>6</v>
      </c>
      <c r="AO152" s="145"/>
      <c r="AP152" s="145"/>
      <c r="AQ152" s="145"/>
      <c r="AR152" s="145"/>
      <c r="AS152" s="144" t="s">
        <v>6</v>
      </c>
      <c r="AT152" s="145"/>
      <c r="AU152" s="145"/>
      <c r="AV152" s="145"/>
      <c r="AW152" s="145"/>
      <c r="AX152" s="145"/>
      <c r="AY152" s="145"/>
      <c r="AZ152" s="145"/>
      <c r="BA152" s="152">
        <f>SUM(BA153:BA153)</f>
        <v>2088</v>
      </c>
      <c r="BB152" s="145"/>
      <c r="BC152" s="145"/>
      <c r="BD152" s="145"/>
      <c r="BE152" s="145"/>
      <c r="BF152" s="145"/>
      <c r="BG152" s="145"/>
      <c r="BH152" s="145"/>
      <c r="BI152" s="148" t="s">
        <v>6</v>
      </c>
      <c r="BJ152" s="149"/>
      <c r="BK152" s="149"/>
      <c r="BL152" s="149"/>
      <c r="BM152" s="149"/>
      <c r="BN152" s="149"/>
    </row>
    <row r="153" spans="1:253">
      <c r="A153" s="142" t="s">
        <v>125</v>
      </c>
      <c r="B153" s="143"/>
      <c r="C153" s="142" t="s">
        <v>340</v>
      </c>
      <c r="D153" s="143"/>
      <c r="E153" s="143"/>
      <c r="F153" s="143"/>
      <c r="G153" s="143"/>
      <c r="H153" s="143"/>
      <c r="I153" s="142" t="s">
        <v>547</v>
      </c>
      <c r="J153" s="143"/>
      <c r="K153" s="143"/>
      <c r="L153" s="143"/>
      <c r="M153" s="143"/>
      <c r="N153" s="143"/>
      <c r="O153" s="143"/>
      <c r="P153" s="143"/>
      <c r="Q153" s="143"/>
      <c r="R153" s="143"/>
      <c r="S153" s="143"/>
      <c r="T153" s="143"/>
      <c r="U153" s="143"/>
      <c r="V153" s="143"/>
      <c r="W153" s="143"/>
      <c r="X153" s="143"/>
      <c r="Y153" s="143"/>
      <c r="Z153" s="143"/>
      <c r="AA153" s="143"/>
      <c r="AB153" s="143"/>
      <c r="AC153" s="143"/>
      <c r="AD153" s="143"/>
      <c r="AE153" s="143"/>
      <c r="AF153" s="143"/>
      <c r="AG153" s="143"/>
      <c r="AH153" s="143"/>
      <c r="AI153" s="143"/>
      <c r="AJ153" s="143"/>
      <c r="AK153" s="143"/>
      <c r="AL153" s="142" t="s">
        <v>636</v>
      </c>
      <c r="AM153" s="143"/>
      <c r="AN153" s="140">
        <v>7.2</v>
      </c>
      <c r="AO153" s="141"/>
      <c r="AP153" s="141"/>
      <c r="AQ153" s="141"/>
      <c r="AR153" s="141"/>
      <c r="AS153" s="140">
        <v>290</v>
      </c>
      <c r="AT153" s="141"/>
      <c r="AU153" s="141"/>
      <c r="AV153" s="141"/>
      <c r="AW153" s="141"/>
      <c r="AX153" s="141"/>
      <c r="AY153" s="141"/>
      <c r="AZ153" s="141"/>
      <c r="BA153" s="140">
        <f>IR153*AN153+IS153*AN153</f>
        <v>2088</v>
      </c>
      <c r="BB153" s="141"/>
      <c r="BC153" s="141"/>
      <c r="BD153" s="141"/>
      <c r="BE153" s="141"/>
      <c r="BF153" s="141"/>
      <c r="BG153" s="141"/>
      <c r="BH153" s="141"/>
      <c r="BI153" s="142" t="s">
        <v>653</v>
      </c>
      <c r="BJ153" s="143"/>
      <c r="BK153" s="143"/>
      <c r="BL153" s="143"/>
      <c r="BM153" s="143"/>
      <c r="BN153" s="143"/>
      <c r="IR153" s="9">
        <f>AS153*0.770448275862069</f>
        <v>223.43</v>
      </c>
      <c r="IS153" s="9">
        <f>AS153*(1-0.770448275862069)</f>
        <v>66.569999999999993</v>
      </c>
    </row>
    <row r="154" spans="1:253">
      <c r="A154" s="148" t="s">
        <v>6</v>
      </c>
      <c r="B154" s="149"/>
      <c r="C154" s="148" t="s">
        <v>341</v>
      </c>
      <c r="D154" s="149"/>
      <c r="E154" s="149"/>
      <c r="F154" s="149"/>
      <c r="G154" s="149"/>
      <c r="H154" s="149"/>
      <c r="I154" s="148" t="s">
        <v>548</v>
      </c>
      <c r="J154" s="149"/>
      <c r="K154" s="149"/>
      <c r="L154" s="149"/>
      <c r="M154" s="149"/>
      <c r="N154" s="149"/>
      <c r="O154" s="149"/>
      <c r="P154" s="149"/>
      <c r="Q154" s="149"/>
      <c r="R154" s="149"/>
      <c r="S154" s="149"/>
      <c r="T154" s="149"/>
      <c r="U154" s="149"/>
      <c r="V154" s="149"/>
      <c r="W154" s="149"/>
      <c r="X154" s="149"/>
      <c r="Y154" s="149"/>
      <c r="Z154" s="149"/>
      <c r="AA154" s="149"/>
      <c r="AB154" s="149"/>
      <c r="AC154" s="149"/>
      <c r="AD154" s="149"/>
      <c r="AE154" s="149"/>
      <c r="AF154" s="149"/>
      <c r="AG154" s="149"/>
      <c r="AH154" s="149"/>
      <c r="AI154" s="149"/>
      <c r="AJ154" s="149"/>
      <c r="AK154" s="149"/>
      <c r="AL154" s="148" t="s">
        <v>6</v>
      </c>
      <c r="AM154" s="149"/>
      <c r="AN154" s="144" t="s">
        <v>6</v>
      </c>
      <c r="AO154" s="145"/>
      <c r="AP154" s="145"/>
      <c r="AQ154" s="145"/>
      <c r="AR154" s="145"/>
      <c r="AS154" s="144" t="s">
        <v>6</v>
      </c>
      <c r="AT154" s="145"/>
      <c r="AU154" s="145"/>
      <c r="AV154" s="145"/>
      <c r="AW154" s="145"/>
      <c r="AX154" s="145"/>
      <c r="AY154" s="145"/>
      <c r="AZ154" s="145"/>
      <c r="BA154" s="152">
        <f>SUM(BA155:BA159)</f>
        <v>20127.341270000001</v>
      </c>
      <c r="BB154" s="145"/>
      <c r="BC154" s="145"/>
      <c r="BD154" s="145"/>
      <c r="BE154" s="145"/>
      <c r="BF154" s="145"/>
      <c r="BG154" s="145"/>
      <c r="BH154" s="145"/>
      <c r="BI154" s="148" t="s">
        <v>6</v>
      </c>
      <c r="BJ154" s="149"/>
      <c r="BK154" s="149"/>
      <c r="BL154" s="149"/>
      <c r="BM154" s="149"/>
      <c r="BN154" s="149"/>
    </row>
    <row r="155" spans="1:253">
      <c r="A155" s="142" t="s">
        <v>126</v>
      </c>
      <c r="B155" s="143"/>
      <c r="C155" s="142" t="s">
        <v>342</v>
      </c>
      <c r="D155" s="143"/>
      <c r="E155" s="143"/>
      <c r="F155" s="143"/>
      <c r="G155" s="143"/>
      <c r="H155" s="143"/>
      <c r="I155" s="142" t="s">
        <v>549</v>
      </c>
      <c r="J155" s="143"/>
      <c r="K155" s="143"/>
      <c r="L155" s="143"/>
      <c r="M155" s="143"/>
      <c r="N155" s="143"/>
      <c r="O155" s="143"/>
      <c r="P155" s="143"/>
      <c r="Q155" s="143"/>
      <c r="R155" s="143"/>
      <c r="S155" s="143"/>
      <c r="T155" s="143"/>
      <c r="U155" s="143"/>
      <c r="V155" s="143"/>
      <c r="W155" s="143"/>
      <c r="X155" s="143"/>
      <c r="Y155" s="143"/>
      <c r="Z155" s="143"/>
      <c r="AA155" s="143"/>
      <c r="AB155" s="143"/>
      <c r="AC155" s="143"/>
      <c r="AD155" s="143"/>
      <c r="AE155" s="143"/>
      <c r="AF155" s="143"/>
      <c r="AG155" s="143"/>
      <c r="AH155" s="143"/>
      <c r="AI155" s="143"/>
      <c r="AJ155" s="143"/>
      <c r="AK155" s="143"/>
      <c r="AL155" s="142" t="s">
        <v>637</v>
      </c>
      <c r="AM155" s="143"/>
      <c r="AN155" s="140">
        <v>1</v>
      </c>
      <c r="AO155" s="141"/>
      <c r="AP155" s="141"/>
      <c r="AQ155" s="141"/>
      <c r="AR155" s="141"/>
      <c r="AS155" s="140">
        <v>985</v>
      </c>
      <c r="AT155" s="141"/>
      <c r="AU155" s="141"/>
      <c r="AV155" s="141"/>
      <c r="AW155" s="141"/>
      <c r="AX155" s="141"/>
      <c r="AY155" s="141"/>
      <c r="AZ155" s="141"/>
      <c r="BA155" s="140">
        <f>IR155*AN155+IS155*AN155</f>
        <v>985</v>
      </c>
      <c r="BB155" s="141"/>
      <c r="BC155" s="141"/>
      <c r="BD155" s="141"/>
      <c r="BE155" s="141"/>
      <c r="BF155" s="141"/>
      <c r="BG155" s="141"/>
      <c r="BH155" s="141"/>
      <c r="BI155" s="142"/>
      <c r="BJ155" s="143"/>
      <c r="BK155" s="143"/>
      <c r="BL155" s="143"/>
      <c r="BM155" s="143"/>
      <c r="BN155" s="143"/>
      <c r="IR155" s="9">
        <f>AS155*0.394142131979695</f>
        <v>388.22999999999956</v>
      </c>
      <c r="IS155" s="9">
        <f>AS155*(1-0.394142131979695)</f>
        <v>596.77000000000044</v>
      </c>
    </row>
    <row r="156" spans="1:253">
      <c r="A156" s="142" t="s">
        <v>127</v>
      </c>
      <c r="B156" s="143"/>
      <c r="C156" s="142" t="s">
        <v>343</v>
      </c>
      <c r="D156" s="143"/>
      <c r="E156" s="143"/>
      <c r="F156" s="143"/>
      <c r="G156" s="143"/>
      <c r="H156" s="143"/>
      <c r="I156" s="142" t="s">
        <v>550</v>
      </c>
      <c r="J156" s="143"/>
      <c r="K156" s="143"/>
      <c r="L156" s="143"/>
      <c r="M156" s="143"/>
      <c r="N156" s="143"/>
      <c r="O156" s="143"/>
      <c r="P156" s="143"/>
      <c r="Q156" s="143"/>
      <c r="R156" s="143"/>
      <c r="S156" s="143"/>
      <c r="T156" s="143"/>
      <c r="U156" s="143"/>
      <c r="V156" s="143"/>
      <c r="W156" s="143"/>
      <c r="X156" s="143"/>
      <c r="Y156" s="143"/>
      <c r="Z156" s="143"/>
      <c r="AA156" s="143"/>
      <c r="AB156" s="143"/>
      <c r="AC156" s="143"/>
      <c r="AD156" s="143"/>
      <c r="AE156" s="143"/>
      <c r="AF156" s="143"/>
      <c r="AG156" s="143"/>
      <c r="AH156" s="143"/>
      <c r="AI156" s="143"/>
      <c r="AJ156" s="143"/>
      <c r="AK156" s="143"/>
      <c r="AL156" s="142" t="s">
        <v>637</v>
      </c>
      <c r="AM156" s="143"/>
      <c r="AN156" s="140">
        <v>2</v>
      </c>
      <c r="AO156" s="141"/>
      <c r="AP156" s="141"/>
      <c r="AQ156" s="141"/>
      <c r="AR156" s="141"/>
      <c r="AS156" s="140">
        <v>1677.99</v>
      </c>
      <c r="AT156" s="141"/>
      <c r="AU156" s="141"/>
      <c r="AV156" s="141"/>
      <c r="AW156" s="141"/>
      <c r="AX156" s="141"/>
      <c r="AY156" s="141"/>
      <c r="AZ156" s="141"/>
      <c r="BA156" s="140">
        <f>IR156*AN156+IS156*AN156</f>
        <v>3355.9799999999996</v>
      </c>
      <c r="BB156" s="141"/>
      <c r="BC156" s="141"/>
      <c r="BD156" s="141"/>
      <c r="BE156" s="141"/>
      <c r="BF156" s="141"/>
      <c r="BG156" s="141"/>
      <c r="BH156" s="141"/>
      <c r="BI156" s="142" t="s">
        <v>653</v>
      </c>
      <c r="BJ156" s="143"/>
      <c r="BK156" s="143"/>
      <c r="BL156" s="143"/>
      <c r="BM156" s="143"/>
      <c r="BN156" s="143"/>
      <c r="IR156" s="9">
        <f>AS156*0.840553281008826</f>
        <v>1410.4399999999998</v>
      </c>
      <c r="IS156" s="9">
        <f>AS156*(1-0.840553281008826)</f>
        <v>267.55000000000007</v>
      </c>
    </row>
    <row r="157" spans="1:253">
      <c r="A157" s="142" t="s">
        <v>128</v>
      </c>
      <c r="B157" s="143"/>
      <c r="C157" s="142" t="s">
        <v>344</v>
      </c>
      <c r="D157" s="143"/>
      <c r="E157" s="143"/>
      <c r="F157" s="143"/>
      <c r="G157" s="143"/>
      <c r="H157" s="143"/>
      <c r="I157" s="142" t="s">
        <v>551</v>
      </c>
      <c r="J157" s="143"/>
      <c r="K157" s="143"/>
      <c r="L157" s="143"/>
      <c r="M157" s="143"/>
      <c r="N157" s="143"/>
      <c r="O157" s="143"/>
      <c r="P157" s="143"/>
      <c r="Q157" s="143"/>
      <c r="R157" s="143"/>
      <c r="S157" s="143"/>
      <c r="T157" s="143"/>
      <c r="U157" s="143"/>
      <c r="V157" s="143"/>
      <c r="W157" s="143"/>
      <c r="X157" s="143"/>
      <c r="Y157" s="143"/>
      <c r="Z157" s="143"/>
      <c r="AA157" s="143"/>
      <c r="AB157" s="143"/>
      <c r="AC157" s="143"/>
      <c r="AD157" s="143"/>
      <c r="AE157" s="143"/>
      <c r="AF157" s="143"/>
      <c r="AG157" s="143"/>
      <c r="AH157" s="143"/>
      <c r="AI157" s="143"/>
      <c r="AJ157" s="143"/>
      <c r="AK157" s="143"/>
      <c r="AL157" s="142" t="s">
        <v>635</v>
      </c>
      <c r="AM157" s="143"/>
      <c r="AN157" s="140">
        <v>12.25</v>
      </c>
      <c r="AO157" s="141"/>
      <c r="AP157" s="141"/>
      <c r="AQ157" s="141"/>
      <c r="AR157" s="141"/>
      <c r="AS157" s="140">
        <v>1269.01</v>
      </c>
      <c r="AT157" s="141"/>
      <c r="AU157" s="141"/>
      <c r="AV157" s="141"/>
      <c r="AW157" s="141"/>
      <c r="AX157" s="141"/>
      <c r="AY157" s="141"/>
      <c r="AZ157" s="141"/>
      <c r="BA157" s="140">
        <f>IR157*AN157+IS157*AN157</f>
        <v>15545.372499999999</v>
      </c>
      <c r="BB157" s="141"/>
      <c r="BC157" s="141"/>
      <c r="BD157" s="141"/>
      <c r="BE157" s="141"/>
      <c r="BF157" s="141"/>
      <c r="BG157" s="141"/>
      <c r="BH157" s="141"/>
      <c r="BI157" s="142" t="s">
        <v>653</v>
      </c>
      <c r="BJ157" s="143"/>
      <c r="BK157" s="143"/>
      <c r="BL157" s="143"/>
      <c r="BM157" s="143"/>
      <c r="BN157" s="143"/>
      <c r="IR157" s="9">
        <f>AS157*0.361722917865107</f>
        <v>459.02999999999946</v>
      </c>
      <c r="IS157" s="9">
        <f>AS157*(1-0.361722917865107)</f>
        <v>809.98000000000059</v>
      </c>
    </row>
    <row r="158" spans="1:253">
      <c r="A158" s="142"/>
      <c r="B158" s="143"/>
      <c r="C158" s="143"/>
      <c r="D158" s="143"/>
      <c r="E158" s="143"/>
      <c r="F158" s="143"/>
      <c r="G158" s="143"/>
      <c r="H158" s="143"/>
      <c r="I158" s="150" t="s">
        <v>552</v>
      </c>
      <c r="J158" s="151"/>
      <c r="K158" s="151"/>
      <c r="L158" s="151"/>
      <c r="M158" s="151"/>
      <c r="N158" s="151"/>
      <c r="O158" s="151"/>
      <c r="P158" s="151"/>
      <c r="Q158" s="151"/>
      <c r="R158" s="151"/>
      <c r="S158" s="151"/>
      <c r="T158" s="151"/>
      <c r="U158" s="15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/>
      <c r="AH158" s="151"/>
      <c r="AI158" s="151"/>
      <c r="AJ158" s="151"/>
      <c r="AK158" s="151"/>
      <c r="AL158" s="142"/>
      <c r="AM158" s="143"/>
      <c r="AN158" s="143"/>
      <c r="AO158" s="143"/>
      <c r="AP158" s="143"/>
      <c r="AQ158" s="143"/>
      <c r="AR158" s="143"/>
      <c r="AS158" s="143"/>
      <c r="AT158" s="143"/>
      <c r="AU158" s="143"/>
      <c r="AV158" s="143"/>
      <c r="AW158" s="143"/>
      <c r="AX158" s="143"/>
      <c r="AY158" s="143"/>
      <c r="AZ158" s="143"/>
      <c r="BA158" s="143"/>
      <c r="BB158" s="143"/>
      <c r="BC158" s="143"/>
      <c r="BD158" s="143"/>
      <c r="BE158" s="143"/>
      <c r="BF158" s="143"/>
      <c r="BG158" s="143"/>
      <c r="BH158" s="143"/>
      <c r="BI158" s="143"/>
      <c r="BJ158" s="143"/>
      <c r="BK158" s="143"/>
      <c r="BL158" s="143"/>
      <c r="BM158" s="143"/>
      <c r="BN158" s="143"/>
    </row>
    <row r="159" spans="1:253">
      <c r="A159" s="142" t="s">
        <v>129</v>
      </c>
      <c r="B159" s="143"/>
      <c r="C159" s="142" t="s">
        <v>345</v>
      </c>
      <c r="D159" s="143"/>
      <c r="E159" s="143"/>
      <c r="F159" s="143"/>
      <c r="G159" s="143"/>
      <c r="H159" s="143"/>
      <c r="I159" s="142" t="s">
        <v>553</v>
      </c>
      <c r="J159" s="143"/>
      <c r="K159" s="143"/>
      <c r="L159" s="143"/>
      <c r="M159" s="143"/>
      <c r="N159" s="143"/>
      <c r="O159" s="143"/>
      <c r="P159" s="143"/>
      <c r="Q159" s="143"/>
      <c r="R159" s="143"/>
      <c r="S159" s="143"/>
      <c r="T159" s="143"/>
      <c r="U159" s="143"/>
      <c r="V159" s="143"/>
      <c r="W159" s="143"/>
      <c r="X159" s="143"/>
      <c r="Y159" s="143"/>
      <c r="Z159" s="143"/>
      <c r="AA159" s="143"/>
      <c r="AB159" s="143"/>
      <c r="AC159" s="143"/>
      <c r="AD159" s="143"/>
      <c r="AE159" s="143"/>
      <c r="AF159" s="143"/>
      <c r="AG159" s="143"/>
      <c r="AH159" s="143"/>
      <c r="AI159" s="143"/>
      <c r="AJ159" s="143"/>
      <c r="AK159" s="143"/>
      <c r="AL159" s="142" t="s">
        <v>643</v>
      </c>
      <c r="AM159" s="143"/>
      <c r="AN159" s="140">
        <v>141.75810000000001</v>
      </c>
      <c r="AO159" s="141"/>
      <c r="AP159" s="141"/>
      <c r="AQ159" s="141"/>
      <c r="AR159" s="141"/>
      <c r="AS159" s="140">
        <v>1.7</v>
      </c>
      <c r="AT159" s="141"/>
      <c r="AU159" s="141"/>
      <c r="AV159" s="141"/>
      <c r="AW159" s="141"/>
      <c r="AX159" s="141"/>
      <c r="AY159" s="141"/>
      <c r="AZ159" s="141"/>
      <c r="BA159" s="140">
        <f>IR159*AN159+IS159*AN159</f>
        <v>240.98877000000002</v>
      </c>
      <c r="BB159" s="141"/>
      <c r="BC159" s="141"/>
      <c r="BD159" s="141"/>
      <c r="BE159" s="141"/>
      <c r="BF159" s="141"/>
      <c r="BG159" s="141"/>
      <c r="BH159" s="141"/>
      <c r="BI159" s="142" t="s">
        <v>653</v>
      </c>
      <c r="BJ159" s="143"/>
      <c r="BK159" s="143"/>
      <c r="BL159" s="143"/>
      <c r="BM159" s="143"/>
      <c r="BN159" s="143"/>
      <c r="IR159" s="9">
        <f>AS159*0</f>
        <v>0</v>
      </c>
      <c r="IS159" s="9">
        <f>AS159*(1-0)</f>
        <v>1.7</v>
      </c>
    </row>
    <row r="160" spans="1:253">
      <c r="A160" s="148" t="s">
        <v>6</v>
      </c>
      <c r="B160" s="149"/>
      <c r="C160" s="148" t="s">
        <v>346</v>
      </c>
      <c r="D160" s="149"/>
      <c r="E160" s="149"/>
      <c r="F160" s="149"/>
      <c r="G160" s="149"/>
      <c r="H160" s="149"/>
      <c r="I160" s="148" t="s">
        <v>554</v>
      </c>
      <c r="J160" s="149"/>
      <c r="K160" s="149"/>
      <c r="L160" s="149"/>
      <c r="M160" s="149"/>
      <c r="N160" s="149"/>
      <c r="O160" s="149"/>
      <c r="P160" s="149"/>
      <c r="Q160" s="149"/>
      <c r="R160" s="149"/>
      <c r="S160" s="149"/>
      <c r="T160" s="149"/>
      <c r="U160" s="149"/>
      <c r="V160" s="149"/>
      <c r="W160" s="149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/>
      <c r="AH160" s="149"/>
      <c r="AI160" s="149"/>
      <c r="AJ160" s="149"/>
      <c r="AK160" s="149"/>
      <c r="AL160" s="148" t="s">
        <v>6</v>
      </c>
      <c r="AM160" s="149"/>
      <c r="AN160" s="144" t="s">
        <v>6</v>
      </c>
      <c r="AO160" s="145"/>
      <c r="AP160" s="145"/>
      <c r="AQ160" s="145"/>
      <c r="AR160" s="145"/>
      <c r="AS160" s="144" t="s">
        <v>6</v>
      </c>
      <c r="AT160" s="145"/>
      <c r="AU160" s="145"/>
      <c r="AV160" s="145"/>
      <c r="AW160" s="145"/>
      <c r="AX160" s="145"/>
      <c r="AY160" s="145"/>
      <c r="AZ160" s="145"/>
      <c r="BA160" s="152">
        <f>SUM(BA161:BA170)</f>
        <v>194215.63964000001</v>
      </c>
      <c r="BB160" s="145"/>
      <c r="BC160" s="145"/>
      <c r="BD160" s="145"/>
      <c r="BE160" s="145"/>
      <c r="BF160" s="145"/>
      <c r="BG160" s="145"/>
      <c r="BH160" s="145"/>
      <c r="BI160" s="148" t="s">
        <v>6</v>
      </c>
      <c r="BJ160" s="149"/>
      <c r="BK160" s="149"/>
      <c r="BL160" s="149"/>
      <c r="BM160" s="149"/>
      <c r="BN160" s="149"/>
    </row>
    <row r="161" spans="1:253">
      <c r="A161" s="142" t="s">
        <v>130</v>
      </c>
      <c r="B161" s="143"/>
      <c r="C161" s="142" t="s">
        <v>347</v>
      </c>
      <c r="D161" s="143"/>
      <c r="E161" s="143"/>
      <c r="F161" s="143"/>
      <c r="G161" s="143"/>
      <c r="H161" s="143"/>
      <c r="I161" s="142" t="s">
        <v>555</v>
      </c>
      <c r="J161" s="143"/>
      <c r="K161" s="143"/>
      <c r="L161" s="143"/>
      <c r="M161" s="143"/>
      <c r="N161" s="143"/>
      <c r="O161" s="143"/>
      <c r="P161" s="143"/>
      <c r="Q161" s="143"/>
      <c r="R161" s="143"/>
      <c r="S161" s="143"/>
      <c r="T161" s="143"/>
      <c r="U161" s="143"/>
      <c r="V161" s="143"/>
      <c r="W161" s="143"/>
      <c r="X161" s="143"/>
      <c r="Y161" s="143"/>
      <c r="Z161" s="143"/>
      <c r="AA161" s="143"/>
      <c r="AB161" s="143"/>
      <c r="AC161" s="143"/>
      <c r="AD161" s="143"/>
      <c r="AE161" s="143"/>
      <c r="AF161" s="143"/>
      <c r="AG161" s="143"/>
      <c r="AH161" s="143"/>
      <c r="AI161" s="143"/>
      <c r="AJ161" s="143"/>
      <c r="AK161" s="143"/>
      <c r="AL161" s="142" t="s">
        <v>636</v>
      </c>
      <c r="AM161" s="143"/>
      <c r="AN161" s="140">
        <v>38.5</v>
      </c>
      <c r="AO161" s="141"/>
      <c r="AP161" s="141"/>
      <c r="AQ161" s="141"/>
      <c r="AR161" s="141"/>
      <c r="AS161" s="140">
        <v>599.99</v>
      </c>
      <c r="AT161" s="141"/>
      <c r="AU161" s="141"/>
      <c r="AV161" s="141"/>
      <c r="AW161" s="141"/>
      <c r="AX161" s="141"/>
      <c r="AY161" s="141"/>
      <c r="AZ161" s="141"/>
      <c r="BA161" s="140">
        <f>IR161*AN161+IS161*AN161</f>
        <v>23099.614999999998</v>
      </c>
      <c r="BB161" s="141"/>
      <c r="BC161" s="141"/>
      <c r="BD161" s="141"/>
      <c r="BE161" s="141"/>
      <c r="BF161" s="141"/>
      <c r="BG161" s="141"/>
      <c r="BH161" s="141"/>
      <c r="BI161" s="142" t="s">
        <v>653</v>
      </c>
      <c r="BJ161" s="143"/>
      <c r="BK161" s="143"/>
      <c r="BL161" s="143"/>
      <c r="BM161" s="143"/>
      <c r="BN161" s="143"/>
      <c r="IR161" s="9">
        <f>AS161*0.561526025433757</f>
        <v>336.90999999999985</v>
      </c>
      <c r="IS161" s="9">
        <f>AS161*(1-0.561526025433757)</f>
        <v>263.08000000000015</v>
      </c>
    </row>
    <row r="162" spans="1:253">
      <c r="A162" s="142"/>
      <c r="B162" s="143"/>
      <c r="C162" s="143"/>
      <c r="D162" s="143"/>
      <c r="E162" s="143"/>
      <c r="F162" s="143"/>
      <c r="G162" s="143"/>
      <c r="H162" s="143"/>
      <c r="I162" s="150" t="s">
        <v>556</v>
      </c>
      <c r="J162" s="151"/>
      <c r="K162" s="151"/>
      <c r="L162" s="151"/>
      <c r="M162" s="151"/>
      <c r="N162" s="151"/>
      <c r="O162" s="151"/>
      <c r="P162" s="151"/>
      <c r="Q162" s="151"/>
      <c r="R162" s="151"/>
      <c r="S162" s="151"/>
      <c r="T162" s="151"/>
      <c r="U162" s="151"/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/>
      <c r="AH162" s="151"/>
      <c r="AI162" s="151"/>
      <c r="AJ162" s="151"/>
      <c r="AK162" s="151"/>
      <c r="AL162" s="142"/>
      <c r="AM162" s="143"/>
      <c r="AN162" s="143"/>
      <c r="AO162" s="143"/>
      <c r="AP162" s="143"/>
      <c r="AQ162" s="143"/>
      <c r="AR162" s="143"/>
      <c r="AS162" s="143"/>
      <c r="AT162" s="143"/>
      <c r="AU162" s="143"/>
      <c r="AV162" s="143"/>
      <c r="AW162" s="143"/>
      <c r="AX162" s="143"/>
      <c r="AY162" s="143"/>
      <c r="AZ162" s="143"/>
      <c r="BA162" s="143"/>
      <c r="BB162" s="143"/>
      <c r="BC162" s="143"/>
      <c r="BD162" s="143"/>
      <c r="BE162" s="143"/>
      <c r="BF162" s="143"/>
      <c r="BG162" s="143"/>
      <c r="BH162" s="143"/>
      <c r="BI162" s="143"/>
      <c r="BJ162" s="143"/>
      <c r="BK162" s="143"/>
      <c r="BL162" s="143"/>
      <c r="BM162" s="143"/>
      <c r="BN162" s="143"/>
    </row>
    <row r="163" spans="1:253">
      <c r="A163" s="142" t="s">
        <v>131</v>
      </c>
      <c r="B163" s="143"/>
      <c r="C163" s="142" t="s">
        <v>348</v>
      </c>
      <c r="D163" s="143"/>
      <c r="E163" s="143"/>
      <c r="F163" s="143"/>
      <c r="G163" s="143"/>
      <c r="H163" s="143"/>
      <c r="I163" s="142" t="s">
        <v>557</v>
      </c>
      <c r="J163" s="143"/>
      <c r="K163" s="143"/>
      <c r="L163" s="143"/>
      <c r="M163" s="143"/>
      <c r="N163" s="143"/>
      <c r="O163" s="143"/>
      <c r="P163" s="143"/>
      <c r="Q163" s="143"/>
      <c r="R163" s="143"/>
      <c r="S163" s="143"/>
      <c r="T163" s="143"/>
      <c r="U163" s="143"/>
      <c r="V163" s="143"/>
      <c r="W163" s="143"/>
      <c r="X163" s="143"/>
      <c r="Y163" s="143"/>
      <c r="Z163" s="143"/>
      <c r="AA163" s="143"/>
      <c r="AB163" s="143"/>
      <c r="AC163" s="143"/>
      <c r="AD163" s="143"/>
      <c r="AE163" s="143"/>
      <c r="AF163" s="143"/>
      <c r="AG163" s="143"/>
      <c r="AH163" s="143"/>
      <c r="AI163" s="143"/>
      <c r="AJ163" s="143"/>
      <c r="AK163" s="143"/>
      <c r="AL163" s="142" t="s">
        <v>635</v>
      </c>
      <c r="AM163" s="143"/>
      <c r="AN163" s="140">
        <v>110.73</v>
      </c>
      <c r="AO163" s="141"/>
      <c r="AP163" s="141"/>
      <c r="AQ163" s="141"/>
      <c r="AR163" s="141"/>
      <c r="AS163" s="140">
        <v>385.51</v>
      </c>
      <c r="AT163" s="141"/>
      <c r="AU163" s="141"/>
      <c r="AV163" s="141"/>
      <c r="AW163" s="141"/>
      <c r="AX163" s="141"/>
      <c r="AY163" s="141"/>
      <c r="AZ163" s="141"/>
      <c r="BA163" s="140">
        <f t="shared" ref="BA163:BA170" si="14">IR163*AN163+IS163*AN163</f>
        <v>42687.522299999997</v>
      </c>
      <c r="BB163" s="141"/>
      <c r="BC163" s="141"/>
      <c r="BD163" s="141"/>
      <c r="BE163" s="141"/>
      <c r="BF163" s="141"/>
      <c r="BG163" s="141"/>
      <c r="BH163" s="141"/>
      <c r="BI163" s="142" t="s">
        <v>653</v>
      </c>
      <c r="BJ163" s="143"/>
      <c r="BK163" s="143"/>
      <c r="BL163" s="143"/>
      <c r="BM163" s="143"/>
      <c r="BN163" s="143"/>
      <c r="IR163" s="9">
        <f>AS163*0.0177686700734093</f>
        <v>6.8500000000000192</v>
      </c>
      <c r="IS163" s="9">
        <f>AS163*(1-0.0177686700734093)</f>
        <v>378.65999999999997</v>
      </c>
    </row>
    <row r="164" spans="1:253">
      <c r="A164" s="142" t="s">
        <v>132</v>
      </c>
      <c r="B164" s="143"/>
      <c r="C164" s="142" t="s">
        <v>349</v>
      </c>
      <c r="D164" s="143"/>
      <c r="E164" s="143"/>
      <c r="F164" s="143"/>
      <c r="G164" s="143"/>
      <c r="H164" s="143"/>
      <c r="I164" s="142" t="s">
        <v>558</v>
      </c>
      <c r="J164" s="143"/>
      <c r="K164" s="143"/>
      <c r="L164" s="143"/>
      <c r="M164" s="143"/>
      <c r="N164" s="143"/>
      <c r="O164" s="143"/>
      <c r="P164" s="143"/>
      <c r="Q164" s="143"/>
      <c r="R164" s="143"/>
      <c r="S164" s="143"/>
      <c r="T164" s="143"/>
      <c r="U164" s="143"/>
      <c r="V164" s="143"/>
      <c r="W164" s="143"/>
      <c r="X164" s="143"/>
      <c r="Y164" s="143"/>
      <c r="Z164" s="143"/>
      <c r="AA164" s="143"/>
      <c r="AB164" s="143"/>
      <c r="AC164" s="143"/>
      <c r="AD164" s="143"/>
      <c r="AE164" s="143"/>
      <c r="AF164" s="143"/>
      <c r="AG164" s="143"/>
      <c r="AH164" s="143"/>
      <c r="AI164" s="143"/>
      <c r="AJ164" s="143"/>
      <c r="AK164" s="143"/>
      <c r="AL164" s="142" t="s">
        <v>635</v>
      </c>
      <c r="AM164" s="143"/>
      <c r="AN164" s="140">
        <v>61.2</v>
      </c>
      <c r="AO164" s="141"/>
      <c r="AP164" s="141"/>
      <c r="AQ164" s="141"/>
      <c r="AR164" s="141"/>
      <c r="AS164" s="140">
        <v>339.51</v>
      </c>
      <c r="AT164" s="141"/>
      <c r="AU164" s="141"/>
      <c r="AV164" s="141"/>
      <c r="AW164" s="141"/>
      <c r="AX164" s="141"/>
      <c r="AY164" s="141"/>
      <c r="AZ164" s="141"/>
      <c r="BA164" s="140">
        <f t="shared" si="14"/>
        <v>20778.011999999999</v>
      </c>
      <c r="BB164" s="141"/>
      <c r="BC164" s="141"/>
      <c r="BD164" s="141"/>
      <c r="BE164" s="141"/>
      <c r="BF164" s="141"/>
      <c r="BG164" s="141"/>
      <c r="BH164" s="141"/>
      <c r="BI164" s="142" t="s">
        <v>653</v>
      </c>
      <c r="BJ164" s="143"/>
      <c r="BK164" s="143"/>
      <c r="BL164" s="143"/>
      <c r="BM164" s="143"/>
      <c r="BN164" s="143"/>
      <c r="IR164" s="9">
        <f>AS164*0.0201761361962829</f>
        <v>6.8500000000000076</v>
      </c>
      <c r="IS164" s="9">
        <f>AS164*(1-0.0201761361962829)</f>
        <v>332.65999999999997</v>
      </c>
    </row>
    <row r="165" spans="1:253">
      <c r="A165" s="142" t="s">
        <v>133</v>
      </c>
      <c r="B165" s="143"/>
      <c r="C165" s="142" t="s">
        <v>350</v>
      </c>
      <c r="D165" s="143"/>
      <c r="E165" s="143"/>
      <c r="F165" s="143"/>
      <c r="G165" s="143"/>
      <c r="H165" s="143"/>
      <c r="I165" s="142" t="s">
        <v>559</v>
      </c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/>
      <c r="AF165" s="143"/>
      <c r="AG165" s="143"/>
      <c r="AH165" s="143"/>
      <c r="AI165" s="143"/>
      <c r="AJ165" s="143"/>
      <c r="AK165" s="143"/>
      <c r="AL165" s="142" t="s">
        <v>635</v>
      </c>
      <c r="AM165" s="143"/>
      <c r="AN165" s="140">
        <v>136.19999999999999</v>
      </c>
      <c r="AO165" s="141"/>
      <c r="AP165" s="141"/>
      <c r="AQ165" s="141"/>
      <c r="AR165" s="141"/>
      <c r="AS165" s="140">
        <v>280.99</v>
      </c>
      <c r="AT165" s="141"/>
      <c r="AU165" s="141"/>
      <c r="AV165" s="141"/>
      <c r="AW165" s="141"/>
      <c r="AX165" s="141"/>
      <c r="AY165" s="141"/>
      <c r="AZ165" s="141"/>
      <c r="BA165" s="140">
        <f t="shared" si="14"/>
        <v>38270.837999999996</v>
      </c>
      <c r="BB165" s="141"/>
      <c r="BC165" s="141"/>
      <c r="BD165" s="141"/>
      <c r="BE165" s="141"/>
      <c r="BF165" s="141"/>
      <c r="BG165" s="141"/>
      <c r="BH165" s="141"/>
      <c r="BI165" s="142" t="s">
        <v>653</v>
      </c>
      <c r="BJ165" s="143"/>
      <c r="BK165" s="143"/>
      <c r="BL165" s="143"/>
      <c r="BM165" s="143"/>
      <c r="BN165" s="143"/>
      <c r="IR165" s="9">
        <f>AS165*0.0243780917470373</f>
        <v>6.8500000000000112</v>
      </c>
      <c r="IS165" s="9">
        <f>AS165*(1-0.0243780917470373)</f>
        <v>274.14</v>
      </c>
    </row>
    <row r="166" spans="1:253">
      <c r="A166" s="155" t="s">
        <v>134</v>
      </c>
      <c r="B166" s="156"/>
      <c r="C166" s="155" t="s">
        <v>351</v>
      </c>
      <c r="D166" s="156"/>
      <c r="E166" s="156"/>
      <c r="F166" s="156"/>
      <c r="G166" s="156"/>
      <c r="H166" s="156"/>
      <c r="I166" s="155" t="s">
        <v>560</v>
      </c>
      <c r="J166" s="156"/>
      <c r="K166" s="156"/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  <c r="W166" s="156"/>
      <c r="X166" s="156"/>
      <c r="Y166" s="156"/>
      <c r="Z166" s="156"/>
      <c r="AA166" s="156"/>
      <c r="AB166" s="156"/>
      <c r="AC166" s="156"/>
      <c r="AD166" s="156"/>
      <c r="AE166" s="156"/>
      <c r="AF166" s="156"/>
      <c r="AG166" s="156"/>
      <c r="AH166" s="156"/>
      <c r="AI166" s="156"/>
      <c r="AJ166" s="156"/>
      <c r="AK166" s="156"/>
      <c r="AL166" s="155" t="s">
        <v>638</v>
      </c>
      <c r="AM166" s="156"/>
      <c r="AN166" s="153">
        <v>5.367</v>
      </c>
      <c r="AO166" s="154"/>
      <c r="AP166" s="154"/>
      <c r="AQ166" s="154"/>
      <c r="AR166" s="154"/>
      <c r="AS166" s="153">
        <v>6505</v>
      </c>
      <c r="AT166" s="154"/>
      <c r="AU166" s="154"/>
      <c r="AV166" s="154"/>
      <c r="AW166" s="154"/>
      <c r="AX166" s="154"/>
      <c r="AY166" s="154"/>
      <c r="AZ166" s="154"/>
      <c r="BA166" s="153">
        <f t="shared" si="14"/>
        <v>34912.334999999999</v>
      </c>
      <c r="BB166" s="154"/>
      <c r="BC166" s="154"/>
      <c r="BD166" s="154"/>
      <c r="BE166" s="154"/>
      <c r="BF166" s="154"/>
      <c r="BG166" s="154"/>
      <c r="BH166" s="154"/>
      <c r="BI166" s="155" t="s">
        <v>653</v>
      </c>
      <c r="BJ166" s="156"/>
      <c r="BK166" s="156"/>
      <c r="BL166" s="156"/>
      <c r="BM166" s="156"/>
      <c r="BN166" s="156"/>
      <c r="IR166" s="10">
        <f>AS166*1</f>
        <v>6505</v>
      </c>
      <c r="IS166" s="10">
        <f>AS166*(1-1)</f>
        <v>0</v>
      </c>
    </row>
    <row r="167" spans="1:253">
      <c r="A167" s="142" t="s">
        <v>135</v>
      </c>
      <c r="B167" s="143"/>
      <c r="C167" s="142" t="s">
        <v>352</v>
      </c>
      <c r="D167" s="143"/>
      <c r="E167" s="143"/>
      <c r="F167" s="143"/>
      <c r="G167" s="143"/>
      <c r="H167" s="143"/>
      <c r="I167" s="142" t="s">
        <v>561</v>
      </c>
      <c r="J167" s="143"/>
      <c r="K167" s="143"/>
      <c r="L167" s="143"/>
      <c r="M167" s="143"/>
      <c r="N167" s="143"/>
      <c r="O167" s="143"/>
      <c r="P167" s="143"/>
      <c r="Q167" s="143"/>
      <c r="R167" s="143"/>
      <c r="S167" s="143"/>
      <c r="T167" s="143"/>
      <c r="U167" s="143"/>
      <c r="V167" s="143"/>
      <c r="W167" s="143"/>
      <c r="X167" s="143"/>
      <c r="Y167" s="143"/>
      <c r="Z167" s="143"/>
      <c r="AA167" s="143"/>
      <c r="AB167" s="143"/>
      <c r="AC167" s="143"/>
      <c r="AD167" s="143"/>
      <c r="AE167" s="143"/>
      <c r="AF167" s="143"/>
      <c r="AG167" s="143"/>
      <c r="AH167" s="143"/>
      <c r="AI167" s="143"/>
      <c r="AJ167" s="143"/>
      <c r="AK167" s="143"/>
      <c r="AL167" s="142" t="s">
        <v>638</v>
      </c>
      <c r="AM167" s="143"/>
      <c r="AN167" s="140">
        <v>5.367</v>
      </c>
      <c r="AO167" s="141"/>
      <c r="AP167" s="141"/>
      <c r="AQ167" s="141"/>
      <c r="AR167" s="141"/>
      <c r="AS167" s="140">
        <v>2380</v>
      </c>
      <c r="AT167" s="141"/>
      <c r="AU167" s="141"/>
      <c r="AV167" s="141"/>
      <c r="AW167" s="141"/>
      <c r="AX167" s="141"/>
      <c r="AY167" s="141"/>
      <c r="AZ167" s="141"/>
      <c r="BA167" s="140">
        <f t="shared" si="14"/>
        <v>12773.46</v>
      </c>
      <c r="BB167" s="141"/>
      <c r="BC167" s="141"/>
      <c r="BD167" s="141"/>
      <c r="BE167" s="141"/>
      <c r="BF167" s="141"/>
      <c r="BG167" s="141"/>
      <c r="BH167" s="141"/>
      <c r="BI167" s="142" t="s">
        <v>653</v>
      </c>
      <c r="BJ167" s="143"/>
      <c r="BK167" s="143"/>
      <c r="BL167" s="143"/>
      <c r="BM167" s="143"/>
      <c r="BN167" s="143"/>
      <c r="IR167" s="9">
        <f>AS167*0</f>
        <v>0</v>
      </c>
      <c r="IS167" s="9">
        <f>AS167*(1-0)</f>
        <v>2380</v>
      </c>
    </row>
    <row r="168" spans="1:253">
      <c r="A168" s="142" t="s">
        <v>136</v>
      </c>
      <c r="B168" s="143"/>
      <c r="C168" s="142" t="s">
        <v>353</v>
      </c>
      <c r="D168" s="143"/>
      <c r="E168" s="143"/>
      <c r="F168" s="143"/>
      <c r="G168" s="143"/>
      <c r="H168" s="143"/>
      <c r="I168" s="142" t="s">
        <v>562</v>
      </c>
      <c r="J168" s="143"/>
      <c r="K168" s="143"/>
      <c r="L168" s="143"/>
      <c r="M168" s="143"/>
      <c r="N168" s="143"/>
      <c r="O168" s="143"/>
      <c r="P168" s="143"/>
      <c r="Q168" s="143"/>
      <c r="R168" s="143"/>
      <c r="S168" s="143"/>
      <c r="T168" s="143"/>
      <c r="U168" s="143"/>
      <c r="V168" s="143"/>
      <c r="W168" s="143"/>
      <c r="X168" s="143"/>
      <c r="Y168" s="143"/>
      <c r="Z168" s="143"/>
      <c r="AA168" s="143"/>
      <c r="AB168" s="143"/>
      <c r="AC168" s="143"/>
      <c r="AD168" s="143"/>
      <c r="AE168" s="143"/>
      <c r="AF168" s="143"/>
      <c r="AG168" s="143"/>
      <c r="AH168" s="143"/>
      <c r="AI168" s="143"/>
      <c r="AJ168" s="143"/>
      <c r="AK168" s="143"/>
      <c r="AL168" s="142" t="s">
        <v>638</v>
      </c>
      <c r="AM168" s="143"/>
      <c r="AN168" s="140">
        <v>5.367</v>
      </c>
      <c r="AO168" s="141"/>
      <c r="AP168" s="141"/>
      <c r="AQ168" s="141"/>
      <c r="AR168" s="141"/>
      <c r="AS168" s="140">
        <v>1354</v>
      </c>
      <c r="AT168" s="141"/>
      <c r="AU168" s="141"/>
      <c r="AV168" s="141"/>
      <c r="AW168" s="141"/>
      <c r="AX168" s="141"/>
      <c r="AY168" s="141"/>
      <c r="AZ168" s="141"/>
      <c r="BA168" s="140">
        <f t="shared" si="14"/>
        <v>7266.9179999999997</v>
      </c>
      <c r="BB168" s="141"/>
      <c r="BC168" s="141"/>
      <c r="BD168" s="141"/>
      <c r="BE168" s="141"/>
      <c r="BF168" s="141"/>
      <c r="BG168" s="141"/>
      <c r="BH168" s="141"/>
      <c r="BI168" s="142" t="s">
        <v>653</v>
      </c>
      <c r="BJ168" s="143"/>
      <c r="BK168" s="143"/>
      <c r="BL168" s="143"/>
      <c r="BM168" s="143"/>
      <c r="BN168" s="143"/>
      <c r="IR168" s="9">
        <f>AS168*1</f>
        <v>1354</v>
      </c>
      <c r="IS168" s="9">
        <f>AS168*(1-1)</f>
        <v>0</v>
      </c>
    </row>
    <row r="169" spans="1:253">
      <c r="A169" s="142" t="s">
        <v>137</v>
      </c>
      <c r="B169" s="143"/>
      <c r="C169" s="142" t="s">
        <v>354</v>
      </c>
      <c r="D169" s="143"/>
      <c r="E169" s="143"/>
      <c r="F169" s="143"/>
      <c r="G169" s="143"/>
      <c r="H169" s="143"/>
      <c r="I169" s="142" t="s">
        <v>563</v>
      </c>
      <c r="J169" s="143"/>
      <c r="K169" s="143"/>
      <c r="L169" s="143"/>
      <c r="M169" s="143"/>
      <c r="N169" s="143"/>
      <c r="O169" s="143"/>
      <c r="P169" s="143"/>
      <c r="Q169" s="143"/>
      <c r="R169" s="143"/>
      <c r="S169" s="143"/>
      <c r="T169" s="143"/>
      <c r="U169" s="143"/>
      <c r="V169" s="143"/>
      <c r="W169" s="143"/>
      <c r="X169" s="143"/>
      <c r="Y169" s="143"/>
      <c r="Z169" s="143"/>
      <c r="AA169" s="143"/>
      <c r="AB169" s="143"/>
      <c r="AC169" s="143"/>
      <c r="AD169" s="143"/>
      <c r="AE169" s="143"/>
      <c r="AF169" s="143"/>
      <c r="AG169" s="143"/>
      <c r="AH169" s="143"/>
      <c r="AI169" s="143"/>
      <c r="AJ169" s="143"/>
      <c r="AK169" s="143"/>
      <c r="AL169" s="142" t="s">
        <v>636</v>
      </c>
      <c r="AM169" s="143"/>
      <c r="AN169" s="140">
        <v>153.9956</v>
      </c>
      <c r="AO169" s="141"/>
      <c r="AP169" s="141"/>
      <c r="AQ169" s="141"/>
      <c r="AR169" s="141"/>
      <c r="AS169" s="140">
        <v>15.6</v>
      </c>
      <c r="AT169" s="141"/>
      <c r="AU169" s="141"/>
      <c r="AV169" s="141"/>
      <c r="AW169" s="141"/>
      <c r="AX169" s="141"/>
      <c r="AY169" s="141"/>
      <c r="AZ169" s="141"/>
      <c r="BA169" s="140">
        <f t="shared" si="14"/>
        <v>2402.3313600000001</v>
      </c>
      <c r="BB169" s="141"/>
      <c r="BC169" s="141"/>
      <c r="BD169" s="141"/>
      <c r="BE169" s="141"/>
      <c r="BF169" s="141"/>
      <c r="BG169" s="141"/>
      <c r="BH169" s="141"/>
      <c r="BI169" s="142" t="s">
        <v>653</v>
      </c>
      <c r="BJ169" s="143"/>
      <c r="BK169" s="143"/>
      <c r="BL169" s="143"/>
      <c r="BM169" s="143"/>
      <c r="BN169" s="143"/>
      <c r="IR169" s="9">
        <f>AS169*0.735897435897436</f>
        <v>11.48</v>
      </c>
      <c r="IS169" s="9">
        <f>AS169*(1-0.735897435897436)</f>
        <v>4.1199999999999992</v>
      </c>
    </row>
    <row r="170" spans="1:253">
      <c r="A170" s="142" t="s">
        <v>138</v>
      </c>
      <c r="B170" s="143"/>
      <c r="C170" s="142" t="s">
        <v>355</v>
      </c>
      <c r="D170" s="143"/>
      <c r="E170" s="143"/>
      <c r="F170" s="143"/>
      <c r="G170" s="143"/>
      <c r="H170" s="143"/>
      <c r="I170" s="142" t="s">
        <v>564</v>
      </c>
      <c r="J170" s="143"/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  <c r="Y170" s="143"/>
      <c r="Z170" s="143"/>
      <c r="AA170" s="143"/>
      <c r="AB170" s="143"/>
      <c r="AC170" s="143"/>
      <c r="AD170" s="143"/>
      <c r="AE170" s="143"/>
      <c r="AF170" s="143"/>
      <c r="AG170" s="143"/>
      <c r="AH170" s="143"/>
      <c r="AI170" s="143"/>
      <c r="AJ170" s="143"/>
      <c r="AK170" s="143"/>
      <c r="AL170" s="142" t="s">
        <v>643</v>
      </c>
      <c r="AM170" s="143"/>
      <c r="AN170" s="140">
        <v>1821.9103</v>
      </c>
      <c r="AO170" s="141"/>
      <c r="AP170" s="141"/>
      <c r="AQ170" s="141"/>
      <c r="AR170" s="141"/>
      <c r="AS170" s="140">
        <v>6.6</v>
      </c>
      <c r="AT170" s="141"/>
      <c r="AU170" s="141"/>
      <c r="AV170" s="141"/>
      <c r="AW170" s="141"/>
      <c r="AX170" s="141"/>
      <c r="AY170" s="141"/>
      <c r="AZ170" s="141"/>
      <c r="BA170" s="140">
        <f t="shared" si="14"/>
        <v>12024.607979999999</v>
      </c>
      <c r="BB170" s="141"/>
      <c r="BC170" s="141"/>
      <c r="BD170" s="141"/>
      <c r="BE170" s="141"/>
      <c r="BF170" s="141"/>
      <c r="BG170" s="141"/>
      <c r="BH170" s="141"/>
      <c r="BI170" s="142" t="s">
        <v>653</v>
      </c>
      <c r="BJ170" s="143"/>
      <c r="BK170" s="143"/>
      <c r="BL170" s="143"/>
      <c r="BM170" s="143"/>
      <c r="BN170" s="143"/>
      <c r="IR170" s="9">
        <f>AS170*0</f>
        <v>0</v>
      </c>
      <c r="IS170" s="9">
        <f>AS170*(1-0)</f>
        <v>6.6</v>
      </c>
    </row>
    <row r="171" spans="1:253">
      <c r="A171" s="148" t="s">
        <v>6</v>
      </c>
      <c r="B171" s="149"/>
      <c r="C171" s="148" t="s">
        <v>356</v>
      </c>
      <c r="D171" s="149"/>
      <c r="E171" s="149"/>
      <c r="F171" s="149"/>
      <c r="G171" s="149"/>
      <c r="H171" s="149"/>
      <c r="I171" s="148" t="s">
        <v>565</v>
      </c>
      <c r="J171" s="149"/>
      <c r="K171" s="149"/>
      <c r="L171" s="149"/>
      <c r="M171" s="149"/>
      <c r="N171" s="149"/>
      <c r="O171" s="149"/>
      <c r="P171" s="149"/>
      <c r="Q171" s="149"/>
      <c r="R171" s="149"/>
      <c r="S171" s="149"/>
      <c r="T171" s="149"/>
      <c r="U171" s="149"/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/>
      <c r="AH171" s="149"/>
      <c r="AI171" s="149"/>
      <c r="AJ171" s="149"/>
      <c r="AK171" s="149"/>
      <c r="AL171" s="148" t="s">
        <v>6</v>
      </c>
      <c r="AM171" s="149"/>
      <c r="AN171" s="144" t="s">
        <v>6</v>
      </c>
      <c r="AO171" s="145"/>
      <c r="AP171" s="145"/>
      <c r="AQ171" s="145"/>
      <c r="AR171" s="145"/>
      <c r="AS171" s="144" t="s">
        <v>6</v>
      </c>
      <c r="AT171" s="145"/>
      <c r="AU171" s="145"/>
      <c r="AV171" s="145"/>
      <c r="AW171" s="145"/>
      <c r="AX171" s="145"/>
      <c r="AY171" s="145"/>
      <c r="AZ171" s="145"/>
      <c r="BA171" s="152">
        <f>SUM(BA172:BA180)</f>
        <v>56868.039164999995</v>
      </c>
      <c r="BB171" s="145"/>
      <c r="BC171" s="145"/>
      <c r="BD171" s="145"/>
      <c r="BE171" s="145"/>
      <c r="BF171" s="145"/>
      <c r="BG171" s="145"/>
      <c r="BH171" s="145"/>
      <c r="BI171" s="148" t="s">
        <v>6</v>
      </c>
      <c r="BJ171" s="149"/>
      <c r="BK171" s="149"/>
      <c r="BL171" s="149"/>
      <c r="BM171" s="149"/>
      <c r="BN171" s="149"/>
    </row>
    <row r="172" spans="1:253">
      <c r="A172" s="142" t="s">
        <v>139</v>
      </c>
      <c r="B172" s="143"/>
      <c r="C172" s="142" t="s">
        <v>357</v>
      </c>
      <c r="D172" s="143"/>
      <c r="E172" s="143"/>
      <c r="F172" s="143"/>
      <c r="G172" s="143"/>
      <c r="H172" s="143"/>
      <c r="I172" s="142" t="s">
        <v>566</v>
      </c>
      <c r="J172" s="143"/>
      <c r="K172" s="143"/>
      <c r="L172" s="143"/>
      <c r="M172" s="143"/>
      <c r="N172" s="143"/>
      <c r="O172" s="143"/>
      <c r="P172" s="143"/>
      <c r="Q172" s="143"/>
      <c r="R172" s="143"/>
      <c r="S172" s="143"/>
      <c r="T172" s="143"/>
      <c r="U172" s="143"/>
      <c r="V172" s="143"/>
      <c r="W172" s="143"/>
      <c r="X172" s="143"/>
      <c r="Y172" s="143"/>
      <c r="Z172" s="143"/>
      <c r="AA172" s="143"/>
      <c r="AB172" s="143"/>
      <c r="AC172" s="143"/>
      <c r="AD172" s="143"/>
      <c r="AE172" s="143"/>
      <c r="AF172" s="143"/>
      <c r="AG172" s="143"/>
      <c r="AH172" s="143"/>
      <c r="AI172" s="143"/>
      <c r="AJ172" s="143"/>
      <c r="AK172" s="143"/>
      <c r="AL172" s="142" t="s">
        <v>635</v>
      </c>
      <c r="AM172" s="143"/>
      <c r="AN172" s="140">
        <v>14</v>
      </c>
      <c r="AO172" s="141"/>
      <c r="AP172" s="141"/>
      <c r="AQ172" s="141"/>
      <c r="AR172" s="141"/>
      <c r="AS172" s="140">
        <v>712</v>
      </c>
      <c r="AT172" s="141"/>
      <c r="AU172" s="141"/>
      <c r="AV172" s="141"/>
      <c r="AW172" s="141"/>
      <c r="AX172" s="141"/>
      <c r="AY172" s="141"/>
      <c r="AZ172" s="141"/>
      <c r="BA172" s="140">
        <f t="shared" ref="BA172:BA180" si="15">IR172*AN172+IS172*AN172</f>
        <v>9968</v>
      </c>
      <c r="BB172" s="141"/>
      <c r="BC172" s="141"/>
      <c r="BD172" s="141"/>
      <c r="BE172" s="141"/>
      <c r="BF172" s="141"/>
      <c r="BG172" s="141"/>
      <c r="BH172" s="141"/>
      <c r="BI172" s="142" t="s">
        <v>653</v>
      </c>
      <c r="BJ172" s="143"/>
      <c r="BK172" s="143"/>
      <c r="BL172" s="143"/>
      <c r="BM172" s="143"/>
      <c r="BN172" s="143"/>
      <c r="IR172" s="9">
        <f>AS172*0.651657303370787</f>
        <v>463.9800000000003</v>
      </c>
      <c r="IS172" s="9">
        <f>AS172*(1-0.651657303370787)</f>
        <v>248.01999999999967</v>
      </c>
    </row>
    <row r="173" spans="1:253">
      <c r="A173" s="142" t="s">
        <v>140</v>
      </c>
      <c r="B173" s="143"/>
      <c r="C173" s="142" t="s">
        <v>358</v>
      </c>
      <c r="D173" s="143"/>
      <c r="E173" s="143"/>
      <c r="F173" s="143"/>
      <c r="G173" s="143"/>
      <c r="H173" s="143"/>
      <c r="I173" s="142" t="s">
        <v>567</v>
      </c>
      <c r="J173" s="143"/>
      <c r="K173" s="143"/>
      <c r="L173" s="143"/>
      <c r="M173" s="143"/>
      <c r="N173" s="143"/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  <c r="Y173" s="143"/>
      <c r="Z173" s="143"/>
      <c r="AA173" s="143"/>
      <c r="AB173" s="143"/>
      <c r="AC173" s="143"/>
      <c r="AD173" s="143"/>
      <c r="AE173" s="143"/>
      <c r="AF173" s="143"/>
      <c r="AG173" s="143"/>
      <c r="AH173" s="143"/>
      <c r="AI173" s="143"/>
      <c r="AJ173" s="143"/>
      <c r="AK173" s="143"/>
      <c r="AL173" s="142" t="s">
        <v>635</v>
      </c>
      <c r="AM173" s="143"/>
      <c r="AN173" s="140">
        <v>5.65</v>
      </c>
      <c r="AO173" s="141"/>
      <c r="AP173" s="141"/>
      <c r="AQ173" s="141"/>
      <c r="AR173" s="141"/>
      <c r="AS173" s="140">
        <v>580</v>
      </c>
      <c r="AT173" s="141"/>
      <c r="AU173" s="141"/>
      <c r="AV173" s="141"/>
      <c r="AW173" s="141"/>
      <c r="AX173" s="141"/>
      <c r="AY173" s="141"/>
      <c r="AZ173" s="141"/>
      <c r="BA173" s="140">
        <f t="shared" si="15"/>
        <v>3277</v>
      </c>
      <c r="BB173" s="141"/>
      <c r="BC173" s="141"/>
      <c r="BD173" s="141"/>
      <c r="BE173" s="141"/>
      <c r="BF173" s="141"/>
      <c r="BG173" s="141"/>
      <c r="BH173" s="141"/>
      <c r="BI173" s="142" t="s">
        <v>653</v>
      </c>
      <c r="BJ173" s="143"/>
      <c r="BK173" s="143"/>
      <c r="BL173" s="143"/>
      <c r="BM173" s="143"/>
      <c r="BN173" s="143"/>
      <c r="IR173" s="9">
        <f>AS173*0.644465517241379</f>
        <v>373.78999999999985</v>
      </c>
      <c r="IS173" s="9">
        <f>AS173*(1-0.644465517241379)</f>
        <v>206.21000000000018</v>
      </c>
    </row>
    <row r="174" spans="1:253">
      <c r="A174" s="142" t="s">
        <v>141</v>
      </c>
      <c r="B174" s="143"/>
      <c r="C174" s="142" t="s">
        <v>359</v>
      </c>
      <c r="D174" s="143"/>
      <c r="E174" s="143"/>
      <c r="F174" s="143"/>
      <c r="G174" s="143"/>
      <c r="H174" s="143"/>
      <c r="I174" s="142" t="s">
        <v>568</v>
      </c>
      <c r="J174" s="143"/>
      <c r="K174" s="143"/>
      <c r="L174" s="143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3"/>
      <c r="AF174" s="143"/>
      <c r="AG174" s="143"/>
      <c r="AH174" s="143"/>
      <c r="AI174" s="143"/>
      <c r="AJ174" s="143"/>
      <c r="AK174" s="143"/>
      <c r="AL174" s="142" t="s">
        <v>635</v>
      </c>
      <c r="AM174" s="143"/>
      <c r="AN174" s="140">
        <v>15.8</v>
      </c>
      <c r="AO174" s="141"/>
      <c r="AP174" s="141"/>
      <c r="AQ174" s="141"/>
      <c r="AR174" s="141"/>
      <c r="AS174" s="140">
        <v>489</v>
      </c>
      <c r="AT174" s="141"/>
      <c r="AU174" s="141"/>
      <c r="AV174" s="141"/>
      <c r="AW174" s="141"/>
      <c r="AX174" s="141"/>
      <c r="AY174" s="141"/>
      <c r="AZ174" s="141"/>
      <c r="BA174" s="140">
        <f t="shared" si="15"/>
        <v>7726.2000000000007</v>
      </c>
      <c r="BB174" s="141"/>
      <c r="BC174" s="141"/>
      <c r="BD174" s="141"/>
      <c r="BE174" s="141"/>
      <c r="BF174" s="141"/>
      <c r="BG174" s="141"/>
      <c r="BH174" s="141"/>
      <c r="BI174" s="142" t="s">
        <v>655</v>
      </c>
      <c r="BJ174" s="143"/>
      <c r="BK174" s="143"/>
      <c r="BL174" s="143"/>
      <c r="BM174" s="143"/>
      <c r="BN174" s="143"/>
      <c r="IR174" s="9">
        <f>AS174*0</f>
        <v>0</v>
      </c>
      <c r="IS174" s="9">
        <f>AS174*(1-0)</f>
        <v>489</v>
      </c>
    </row>
    <row r="175" spans="1:253">
      <c r="A175" s="142" t="s">
        <v>142</v>
      </c>
      <c r="B175" s="143"/>
      <c r="C175" s="142" t="s">
        <v>359</v>
      </c>
      <c r="D175" s="143"/>
      <c r="E175" s="143"/>
      <c r="F175" s="143"/>
      <c r="G175" s="143"/>
      <c r="H175" s="143"/>
      <c r="I175" s="142" t="s">
        <v>569</v>
      </c>
      <c r="J175" s="143"/>
      <c r="K175" s="143"/>
      <c r="L175" s="143"/>
      <c r="M175" s="143"/>
      <c r="N175" s="143"/>
      <c r="O175" s="143"/>
      <c r="P175" s="143"/>
      <c r="Q175" s="143"/>
      <c r="R175" s="143"/>
      <c r="S175" s="143"/>
      <c r="T175" s="143"/>
      <c r="U175" s="143"/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/>
      <c r="AF175" s="143"/>
      <c r="AG175" s="143"/>
      <c r="AH175" s="143"/>
      <c r="AI175" s="143"/>
      <c r="AJ175" s="143"/>
      <c r="AK175" s="143"/>
      <c r="AL175" s="142" t="s">
        <v>635</v>
      </c>
      <c r="AM175" s="143"/>
      <c r="AN175" s="140">
        <v>16.22</v>
      </c>
      <c r="AO175" s="141"/>
      <c r="AP175" s="141"/>
      <c r="AQ175" s="141"/>
      <c r="AR175" s="141"/>
      <c r="AS175" s="140">
        <v>582</v>
      </c>
      <c r="AT175" s="141"/>
      <c r="AU175" s="141"/>
      <c r="AV175" s="141"/>
      <c r="AW175" s="141"/>
      <c r="AX175" s="141"/>
      <c r="AY175" s="141"/>
      <c r="AZ175" s="141"/>
      <c r="BA175" s="140">
        <f t="shared" si="15"/>
        <v>9440.0399999999991</v>
      </c>
      <c r="BB175" s="141"/>
      <c r="BC175" s="141"/>
      <c r="BD175" s="141"/>
      <c r="BE175" s="141"/>
      <c r="BF175" s="141"/>
      <c r="BG175" s="141"/>
      <c r="BH175" s="141"/>
      <c r="BI175" s="142" t="s">
        <v>655</v>
      </c>
      <c r="BJ175" s="143"/>
      <c r="BK175" s="143"/>
      <c r="BL175" s="143"/>
      <c r="BM175" s="143"/>
      <c r="BN175" s="143"/>
      <c r="IR175" s="9">
        <f>AS175*0</f>
        <v>0</v>
      </c>
      <c r="IS175" s="9">
        <f>AS175*(1-0)</f>
        <v>582</v>
      </c>
    </row>
    <row r="176" spans="1:253">
      <c r="A176" s="142" t="s">
        <v>143</v>
      </c>
      <c r="B176" s="143"/>
      <c r="C176" s="142" t="s">
        <v>360</v>
      </c>
      <c r="D176" s="143"/>
      <c r="E176" s="143"/>
      <c r="F176" s="143"/>
      <c r="G176" s="143"/>
      <c r="H176" s="143"/>
      <c r="I176" s="142" t="s">
        <v>570</v>
      </c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/>
      <c r="AF176" s="143"/>
      <c r="AG176" s="143"/>
      <c r="AH176" s="143"/>
      <c r="AI176" s="143"/>
      <c r="AJ176" s="143"/>
      <c r="AK176" s="143"/>
      <c r="AL176" s="142" t="s">
        <v>635</v>
      </c>
      <c r="AM176" s="143"/>
      <c r="AN176" s="140">
        <v>12.59</v>
      </c>
      <c r="AO176" s="141"/>
      <c r="AP176" s="141"/>
      <c r="AQ176" s="141"/>
      <c r="AR176" s="141"/>
      <c r="AS176" s="140">
        <v>519</v>
      </c>
      <c r="AT176" s="141"/>
      <c r="AU176" s="141"/>
      <c r="AV176" s="141"/>
      <c r="AW176" s="141"/>
      <c r="AX176" s="141"/>
      <c r="AY176" s="141"/>
      <c r="AZ176" s="141"/>
      <c r="BA176" s="140">
        <f t="shared" si="15"/>
        <v>6534.2100000000009</v>
      </c>
      <c r="BB176" s="141"/>
      <c r="BC176" s="141"/>
      <c r="BD176" s="141"/>
      <c r="BE176" s="141"/>
      <c r="BF176" s="141"/>
      <c r="BG176" s="141"/>
      <c r="BH176" s="141"/>
      <c r="BI176" s="142" t="s">
        <v>653</v>
      </c>
      <c r="BJ176" s="143"/>
      <c r="BK176" s="143"/>
      <c r="BL176" s="143"/>
      <c r="BM176" s="143"/>
      <c r="BN176" s="143"/>
      <c r="IR176" s="9">
        <f>AS176*0.464720616570328</f>
        <v>241.19000000000023</v>
      </c>
      <c r="IS176" s="9">
        <f>AS176*(1-0.464720616570328)</f>
        <v>277.80999999999983</v>
      </c>
    </row>
    <row r="177" spans="1:253">
      <c r="A177" s="142" t="s">
        <v>144</v>
      </c>
      <c r="B177" s="143"/>
      <c r="C177" s="142" t="s">
        <v>361</v>
      </c>
      <c r="D177" s="143"/>
      <c r="E177" s="143"/>
      <c r="F177" s="143"/>
      <c r="G177" s="143"/>
      <c r="H177" s="143"/>
      <c r="I177" s="142" t="s">
        <v>571</v>
      </c>
      <c r="J177" s="143"/>
      <c r="K177" s="143"/>
      <c r="L177" s="143"/>
      <c r="M177" s="143"/>
      <c r="N177" s="143"/>
      <c r="O177" s="143"/>
      <c r="P177" s="143"/>
      <c r="Q177" s="143"/>
      <c r="R177" s="143"/>
      <c r="S177" s="143"/>
      <c r="T177" s="143"/>
      <c r="U177" s="143"/>
      <c r="V177" s="143"/>
      <c r="W177" s="143"/>
      <c r="X177" s="143"/>
      <c r="Y177" s="143"/>
      <c r="Z177" s="143"/>
      <c r="AA177" s="143"/>
      <c r="AB177" s="143"/>
      <c r="AC177" s="143"/>
      <c r="AD177" s="143"/>
      <c r="AE177" s="143"/>
      <c r="AF177" s="143"/>
      <c r="AG177" s="143"/>
      <c r="AH177" s="143"/>
      <c r="AI177" s="143"/>
      <c r="AJ177" s="143"/>
      <c r="AK177" s="143"/>
      <c r="AL177" s="142" t="s">
        <v>637</v>
      </c>
      <c r="AM177" s="143"/>
      <c r="AN177" s="140">
        <v>2</v>
      </c>
      <c r="AO177" s="141"/>
      <c r="AP177" s="141"/>
      <c r="AQ177" s="141"/>
      <c r="AR177" s="141"/>
      <c r="AS177" s="140">
        <v>1105</v>
      </c>
      <c r="AT177" s="141"/>
      <c r="AU177" s="141"/>
      <c r="AV177" s="141"/>
      <c r="AW177" s="141"/>
      <c r="AX177" s="141"/>
      <c r="AY177" s="141"/>
      <c r="AZ177" s="141"/>
      <c r="BA177" s="140">
        <f t="shared" si="15"/>
        <v>2210</v>
      </c>
      <c r="BB177" s="141"/>
      <c r="BC177" s="141"/>
      <c r="BD177" s="141"/>
      <c r="BE177" s="141"/>
      <c r="BF177" s="141"/>
      <c r="BG177" s="141"/>
      <c r="BH177" s="141"/>
      <c r="BI177" s="142" t="s">
        <v>653</v>
      </c>
      <c r="BJ177" s="143"/>
      <c r="BK177" s="143"/>
      <c r="BL177" s="143"/>
      <c r="BM177" s="143"/>
      <c r="BN177" s="143"/>
      <c r="IR177" s="9">
        <f>AS177*0.366407239819005</f>
        <v>404.88000000000056</v>
      </c>
      <c r="IS177" s="9">
        <f>AS177*(1-0.366407239819005)</f>
        <v>700.11999999999944</v>
      </c>
    </row>
    <row r="178" spans="1:253">
      <c r="A178" s="142" t="s">
        <v>145</v>
      </c>
      <c r="B178" s="143"/>
      <c r="C178" s="142" t="s">
        <v>362</v>
      </c>
      <c r="D178" s="143"/>
      <c r="E178" s="143"/>
      <c r="F178" s="143"/>
      <c r="G178" s="143"/>
      <c r="H178" s="143"/>
      <c r="I178" s="142" t="s">
        <v>572</v>
      </c>
      <c r="J178" s="143"/>
      <c r="K178" s="143"/>
      <c r="L178" s="143"/>
      <c r="M178" s="143"/>
      <c r="N178" s="143"/>
      <c r="O178" s="143"/>
      <c r="P178" s="143"/>
      <c r="Q178" s="143"/>
      <c r="R178" s="143"/>
      <c r="S178" s="143"/>
      <c r="T178" s="143"/>
      <c r="U178" s="143"/>
      <c r="V178" s="143"/>
      <c r="W178" s="143"/>
      <c r="X178" s="143"/>
      <c r="Y178" s="143"/>
      <c r="Z178" s="143"/>
      <c r="AA178" s="143"/>
      <c r="AB178" s="143"/>
      <c r="AC178" s="143"/>
      <c r="AD178" s="143"/>
      <c r="AE178" s="143"/>
      <c r="AF178" s="143"/>
      <c r="AG178" s="143"/>
      <c r="AH178" s="143"/>
      <c r="AI178" s="143"/>
      <c r="AJ178" s="143"/>
      <c r="AK178" s="143"/>
      <c r="AL178" s="142" t="s">
        <v>637</v>
      </c>
      <c r="AM178" s="143"/>
      <c r="AN178" s="140">
        <v>4</v>
      </c>
      <c r="AO178" s="141"/>
      <c r="AP178" s="141"/>
      <c r="AQ178" s="141"/>
      <c r="AR178" s="141"/>
      <c r="AS178" s="140">
        <v>310.01</v>
      </c>
      <c r="AT178" s="141"/>
      <c r="AU178" s="141"/>
      <c r="AV178" s="141"/>
      <c r="AW178" s="141"/>
      <c r="AX178" s="141"/>
      <c r="AY178" s="141"/>
      <c r="AZ178" s="141"/>
      <c r="BA178" s="140">
        <f t="shared" si="15"/>
        <v>1240.04</v>
      </c>
      <c r="BB178" s="141"/>
      <c r="BC178" s="141"/>
      <c r="BD178" s="141"/>
      <c r="BE178" s="141"/>
      <c r="BF178" s="141"/>
      <c r="BG178" s="141"/>
      <c r="BH178" s="141"/>
      <c r="BI178" s="142" t="s">
        <v>653</v>
      </c>
      <c r="BJ178" s="143"/>
      <c r="BK178" s="143"/>
      <c r="BL178" s="143"/>
      <c r="BM178" s="143"/>
      <c r="BN178" s="143"/>
      <c r="IR178" s="9">
        <f>AS178*0.338537466533338</f>
        <v>104.9500000000001</v>
      </c>
      <c r="IS178" s="9">
        <f>AS178*(1-0.338537466533338)</f>
        <v>205.05999999999986</v>
      </c>
    </row>
    <row r="179" spans="1:253">
      <c r="A179" s="142" t="s">
        <v>146</v>
      </c>
      <c r="B179" s="143"/>
      <c r="C179" s="142" t="s">
        <v>363</v>
      </c>
      <c r="D179" s="143"/>
      <c r="E179" s="143"/>
      <c r="F179" s="143"/>
      <c r="G179" s="143"/>
      <c r="H179" s="143"/>
      <c r="I179" s="142" t="s">
        <v>573</v>
      </c>
      <c r="J179" s="143"/>
      <c r="K179" s="143"/>
      <c r="L179" s="143"/>
      <c r="M179" s="143"/>
      <c r="N179" s="143"/>
      <c r="O179" s="143"/>
      <c r="P179" s="143"/>
      <c r="Q179" s="143"/>
      <c r="R179" s="143"/>
      <c r="S179" s="143"/>
      <c r="T179" s="143"/>
      <c r="U179" s="143"/>
      <c r="V179" s="143"/>
      <c r="W179" s="143"/>
      <c r="X179" s="143"/>
      <c r="Y179" s="143"/>
      <c r="Z179" s="143"/>
      <c r="AA179" s="143"/>
      <c r="AB179" s="143"/>
      <c r="AC179" s="143"/>
      <c r="AD179" s="143"/>
      <c r="AE179" s="143"/>
      <c r="AF179" s="143"/>
      <c r="AG179" s="143"/>
      <c r="AH179" s="143"/>
      <c r="AI179" s="143"/>
      <c r="AJ179" s="143"/>
      <c r="AK179" s="143"/>
      <c r="AL179" s="142" t="s">
        <v>635</v>
      </c>
      <c r="AM179" s="143"/>
      <c r="AN179" s="140">
        <v>26.62</v>
      </c>
      <c r="AO179" s="141"/>
      <c r="AP179" s="141"/>
      <c r="AQ179" s="141"/>
      <c r="AR179" s="141"/>
      <c r="AS179" s="140">
        <v>580</v>
      </c>
      <c r="AT179" s="141"/>
      <c r="AU179" s="141"/>
      <c r="AV179" s="141"/>
      <c r="AW179" s="141"/>
      <c r="AX179" s="141"/>
      <c r="AY179" s="141"/>
      <c r="AZ179" s="141"/>
      <c r="BA179" s="140">
        <f t="shared" si="15"/>
        <v>15439.599999999999</v>
      </c>
      <c r="BB179" s="141"/>
      <c r="BC179" s="141"/>
      <c r="BD179" s="141"/>
      <c r="BE179" s="141"/>
      <c r="BF179" s="141"/>
      <c r="BG179" s="141"/>
      <c r="BH179" s="141"/>
      <c r="BI179" s="142" t="s">
        <v>653</v>
      </c>
      <c r="BJ179" s="143"/>
      <c r="BK179" s="143"/>
      <c r="BL179" s="143"/>
      <c r="BM179" s="143"/>
      <c r="BN179" s="143"/>
      <c r="IR179" s="9">
        <f>AS179*0.421327586206897</f>
        <v>244.37000000000023</v>
      </c>
      <c r="IS179" s="9">
        <f>AS179*(1-0.421327586206897)</f>
        <v>335.62999999999971</v>
      </c>
    </row>
    <row r="180" spans="1:253">
      <c r="A180" s="142" t="s">
        <v>147</v>
      </c>
      <c r="B180" s="143"/>
      <c r="C180" s="142" t="s">
        <v>364</v>
      </c>
      <c r="D180" s="143"/>
      <c r="E180" s="143"/>
      <c r="F180" s="143"/>
      <c r="G180" s="143"/>
      <c r="H180" s="143"/>
      <c r="I180" s="142" t="s">
        <v>574</v>
      </c>
      <c r="J180" s="143"/>
      <c r="K180" s="143"/>
      <c r="L180" s="143"/>
      <c r="M180" s="143"/>
      <c r="N180" s="143"/>
      <c r="O180" s="143"/>
      <c r="P180" s="143"/>
      <c r="Q180" s="143"/>
      <c r="R180" s="143"/>
      <c r="S180" s="143"/>
      <c r="T180" s="143"/>
      <c r="U180" s="143"/>
      <c r="V180" s="143"/>
      <c r="W180" s="143"/>
      <c r="X180" s="143"/>
      <c r="Y180" s="143"/>
      <c r="Z180" s="143"/>
      <c r="AA180" s="143"/>
      <c r="AB180" s="143"/>
      <c r="AC180" s="143"/>
      <c r="AD180" s="143"/>
      <c r="AE180" s="143"/>
      <c r="AF180" s="143"/>
      <c r="AG180" s="143"/>
      <c r="AH180" s="143"/>
      <c r="AI180" s="143"/>
      <c r="AJ180" s="143"/>
      <c r="AK180" s="143"/>
      <c r="AL180" s="142" t="s">
        <v>643</v>
      </c>
      <c r="AM180" s="143"/>
      <c r="AN180" s="140">
        <v>558.35090000000002</v>
      </c>
      <c r="AO180" s="141"/>
      <c r="AP180" s="141"/>
      <c r="AQ180" s="141"/>
      <c r="AR180" s="141"/>
      <c r="AS180" s="140">
        <v>1.85</v>
      </c>
      <c r="AT180" s="141"/>
      <c r="AU180" s="141"/>
      <c r="AV180" s="141"/>
      <c r="AW180" s="141"/>
      <c r="AX180" s="141"/>
      <c r="AY180" s="141"/>
      <c r="AZ180" s="141"/>
      <c r="BA180" s="140">
        <f t="shared" si="15"/>
        <v>1032.949165</v>
      </c>
      <c r="BB180" s="141"/>
      <c r="BC180" s="141"/>
      <c r="BD180" s="141"/>
      <c r="BE180" s="141"/>
      <c r="BF180" s="141"/>
      <c r="BG180" s="141"/>
      <c r="BH180" s="141"/>
      <c r="BI180" s="142" t="s">
        <v>653</v>
      </c>
      <c r="BJ180" s="143"/>
      <c r="BK180" s="143"/>
      <c r="BL180" s="143"/>
      <c r="BM180" s="143"/>
      <c r="BN180" s="143"/>
      <c r="IR180" s="9">
        <f>AS180*0</f>
        <v>0</v>
      </c>
      <c r="IS180" s="9">
        <f>AS180*(1-0)</f>
        <v>1.85</v>
      </c>
    </row>
    <row r="181" spans="1:253">
      <c r="A181" s="148" t="s">
        <v>6</v>
      </c>
      <c r="B181" s="149"/>
      <c r="C181" s="148" t="s">
        <v>365</v>
      </c>
      <c r="D181" s="149"/>
      <c r="E181" s="149"/>
      <c r="F181" s="149"/>
      <c r="G181" s="149"/>
      <c r="H181" s="149"/>
      <c r="I181" s="148" t="s">
        <v>575</v>
      </c>
      <c r="J181" s="149"/>
      <c r="K181" s="149"/>
      <c r="L181" s="149"/>
      <c r="M181" s="149"/>
      <c r="N181" s="149"/>
      <c r="O181" s="149"/>
      <c r="P181" s="149"/>
      <c r="Q181" s="149"/>
      <c r="R181" s="149"/>
      <c r="S181" s="149"/>
      <c r="T181" s="149"/>
      <c r="U181" s="149"/>
      <c r="V181" s="149"/>
      <c r="W181" s="149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/>
      <c r="AH181" s="149"/>
      <c r="AI181" s="149"/>
      <c r="AJ181" s="149"/>
      <c r="AK181" s="149"/>
      <c r="AL181" s="148" t="s">
        <v>6</v>
      </c>
      <c r="AM181" s="149"/>
      <c r="AN181" s="144" t="s">
        <v>6</v>
      </c>
      <c r="AO181" s="145"/>
      <c r="AP181" s="145"/>
      <c r="AQ181" s="145"/>
      <c r="AR181" s="145"/>
      <c r="AS181" s="144" t="s">
        <v>6</v>
      </c>
      <c r="AT181" s="145"/>
      <c r="AU181" s="145"/>
      <c r="AV181" s="145"/>
      <c r="AW181" s="145"/>
      <c r="AX181" s="145"/>
      <c r="AY181" s="145"/>
      <c r="AZ181" s="145"/>
      <c r="BA181" s="152">
        <f>SUM(BA182:BA187)</f>
        <v>62895.586233000002</v>
      </c>
      <c r="BB181" s="145"/>
      <c r="BC181" s="145"/>
      <c r="BD181" s="145"/>
      <c r="BE181" s="145"/>
      <c r="BF181" s="145"/>
      <c r="BG181" s="145"/>
      <c r="BH181" s="145"/>
      <c r="BI181" s="148" t="s">
        <v>6</v>
      </c>
      <c r="BJ181" s="149"/>
      <c r="BK181" s="149"/>
      <c r="BL181" s="149"/>
      <c r="BM181" s="149"/>
      <c r="BN181" s="149"/>
    </row>
    <row r="182" spans="1:253">
      <c r="A182" s="142" t="s">
        <v>148</v>
      </c>
      <c r="B182" s="143"/>
      <c r="C182" s="142" t="s">
        <v>366</v>
      </c>
      <c r="D182" s="143"/>
      <c r="E182" s="143"/>
      <c r="F182" s="143"/>
      <c r="G182" s="143"/>
      <c r="H182" s="143"/>
      <c r="I182" s="142" t="s">
        <v>576</v>
      </c>
      <c r="J182" s="143"/>
      <c r="K182" s="143"/>
      <c r="L182" s="143"/>
      <c r="M182" s="143"/>
      <c r="N182" s="143"/>
      <c r="O182" s="143"/>
      <c r="P182" s="143"/>
      <c r="Q182" s="143"/>
      <c r="R182" s="143"/>
      <c r="S182" s="143"/>
      <c r="T182" s="143"/>
      <c r="U182" s="143"/>
      <c r="V182" s="143"/>
      <c r="W182" s="143"/>
      <c r="X182" s="143"/>
      <c r="Y182" s="143"/>
      <c r="Z182" s="143"/>
      <c r="AA182" s="143"/>
      <c r="AB182" s="143"/>
      <c r="AC182" s="143"/>
      <c r="AD182" s="143"/>
      <c r="AE182" s="143"/>
      <c r="AF182" s="143"/>
      <c r="AG182" s="143"/>
      <c r="AH182" s="143"/>
      <c r="AI182" s="143"/>
      <c r="AJ182" s="143"/>
      <c r="AK182" s="143"/>
      <c r="AL182" s="142" t="s">
        <v>636</v>
      </c>
      <c r="AM182" s="143"/>
      <c r="AN182" s="140">
        <v>43.892000000000003</v>
      </c>
      <c r="AO182" s="141"/>
      <c r="AP182" s="141"/>
      <c r="AQ182" s="141"/>
      <c r="AR182" s="141"/>
      <c r="AS182" s="140">
        <v>186.5</v>
      </c>
      <c r="AT182" s="141"/>
      <c r="AU182" s="141"/>
      <c r="AV182" s="141"/>
      <c r="AW182" s="141"/>
      <c r="AX182" s="141"/>
      <c r="AY182" s="141"/>
      <c r="AZ182" s="141"/>
      <c r="BA182" s="140">
        <f>IR182*AN182+IS182*AN182</f>
        <v>8185.8580000000002</v>
      </c>
      <c r="BB182" s="141"/>
      <c r="BC182" s="141"/>
      <c r="BD182" s="141"/>
      <c r="BE182" s="141"/>
      <c r="BF182" s="141"/>
      <c r="BG182" s="141"/>
      <c r="BH182" s="141"/>
      <c r="BI182" s="142" t="s">
        <v>653</v>
      </c>
      <c r="BJ182" s="143"/>
      <c r="BK182" s="143"/>
      <c r="BL182" s="143"/>
      <c r="BM182" s="143"/>
      <c r="BN182" s="143"/>
      <c r="IR182" s="9">
        <f>AS182*0</f>
        <v>0</v>
      </c>
      <c r="IS182" s="9">
        <f>AS182*(1-0)</f>
        <v>186.5</v>
      </c>
    </row>
    <row r="183" spans="1:253">
      <c r="A183" s="155" t="s">
        <v>149</v>
      </c>
      <c r="B183" s="156"/>
      <c r="C183" s="155" t="s">
        <v>367</v>
      </c>
      <c r="D183" s="156"/>
      <c r="E183" s="156"/>
      <c r="F183" s="156"/>
      <c r="G183" s="156"/>
      <c r="H183" s="156"/>
      <c r="I183" s="155" t="s">
        <v>577</v>
      </c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  <c r="Z183" s="156"/>
      <c r="AA183" s="156"/>
      <c r="AB183" s="156"/>
      <c r="AC183" s="156"/>
      <c r="AD183" s="156"/>
      <c r="AE183" s="156"/>
      <c r="AF183" s="156"/>
      <c r="AG183" s="156"/>
      <c r="AH183" s="156"/>
      <c r="AI183" s="156"/>
      <c r="AJ183" s="156"/>
      <c r="AK183" s="156"/>
      <c r="AL183" s="155" t="s">
        <v>638</v>
      </c>
      <c r="AM183" s="156"/>
      <c r="AN183" s="153">
        <v>1.20703</v>
      </c>
      <c r="AO183" s="154"/>
      <c r="AP183" s="154"/>
      <c r="AQ183" s="154"/>
      <c r="AR183" s="154"/>
      <c r="AS183" s="153">
        <v>13264</v>
      </c>
      <c r="AT183" s="154"/>
      <c r="AU183" s="154"/>
      <c r="AV183" s="154"/>
      <c r="AW183" s="154"/>
      <c r="AX183" s="154"/>
      <c r="AY183" s="154"/>
      <c r="AZ183" s="154"/>
      <c r="BA183" s="153">
        <f>IR183*AN183+IS183*AN183</f>
        <v>16010.04592</v>
      </c>
      <c r="BB183" s="154"/>
      <c r="BC183" s="154"/>
      <c r="BD183" s="154"/>
      <c r="BE183" s="154"/>
      <c r="BF183" s="154"/>
      <c r="BG183" s="154"/>
      <c r="BH183" s="154"/>
      <c r="BI183" s="155" t="s">
        <v>653</v>
      </c>
      <c r="BJ183" s="156"/>
      <c r="BK183" s="156"/>
      <c r="BL183" s="156"/>
      <c r="BM183" s="156"/>
      <c r="BN183" s="156"/>
      <c r="IR183" s="10">
        <f>AS183*1</f>
        <v>13264</v>
      </c>
      <c r="IS183" s="10">
        <f>AS183*(1-1)</f>
        <v>0</v>
      </c>
    </row>
    <row r="184" spans="1:253">
      <c r="A184" s="142" t="s">
        <v>150</v>
      </c>
      <c r="B184" s="143"/>
      <c r="C184" s="142" t="s">
        <v>368</v>
      </c>
      <c r="D184" s="143"/>
      <c r="E184" s="143"/>
      <c r="F184" s="143"/>
      <c r="G184" s="143"/>
      <c r="H184" s="143"/>
      <c r="I184" s="142" t="s">
        <v>578</v>
      </c>
      <c r="J184" s="143"/>
      <c r="K184" s="143"/>
      <c r="L184" s="143"/>
      <c r="M184" s="143"/>
      <c r="N184" s="143"/>
      <c r="O184" s="143"/>
      <c r="P184" s="143"/>
      <c r="Q184" s="143"/>
      <c r="R184" s="143"/>
      <c r="S184" s="143"/>
      <c r="T184" s="143"/>
      <c r="U184" s="143"/>
      <c r="V184" s="143"/>
      <c r="W184" s="143"/>
      <c r="X184" s="143"/>
      <c r="Y184" s="143"/>
      <c r="Z184" s="143"/>
      <c r="AA184" s="143"/>
      <c r="AB184" s="143"/>
      <c r="AC184" s="143"/>
      <c r="AD184" s="143"/>
      <c r="AE184" s="143"/>
      <c r="AF184" s="143"/>
      <c r="AG184" s="143"/>
      <c r="AH184" s="143"/>
      <c r="AI184" s="143"/>
      <c r="AJ184" s="143"/>
      <c r="AK184" s="143"/>
      <c r="AL184" s="142" t="s">
        <v>636</v>
      </c>
      <c r="AM184" s="143"/>
      <c r="AN184" s="140">
        <v>43.892000000000003</v>
      </c>
      <c r="AO184" s="141"/>
      <c r="AP184" s="141"/>
      <c r="AQ184" s="141"/>
      <c r="AR184" s="141"/>
      <c r="AS184" s="140">
        <v>82.69</v>
      </c>
      <c r="AT184" s="141"/>
      <c r="AU184" s="141"/>
      <c r="AV184" s="141"/>
      <c r="AW184" s="141"/>
      <c r="AX184" s="141"/>
      <c r="AY184" s="141"/>
      <c r="AZ184" s="141"/>
      <c r="BA184" s="140">
        <f>IR184*AN184+IS184*AN184</f>
        <v>3629.4294800000002</v>
      </c>
      <c r="BB184" s="141"/>
      <c r="BC184" s="141"/>
      <c r="BD184" s="141"/>
      <c r="BE184" s="141"/>
      <c r="BF184" s="141"/>
      <c r="BG184" s="141"/>
      <c r="BH184" s="141"/>
      <c r="BI184" s="142" t="s">
        <v>653</v>
      </c>
      <c r="BJ184" s="143"/>
      <c r="BK184" s="143"/>
      <c r="BL184" s="143"/>
      <c r="BM184" s="143"/>
      <c r="BN184" s="143"/>
      <c r="IR184" s="9">
        <f>AS184*0.31599951626557</f>
        <v>26.129999999999981</v>
      </c>
      <c r="IS184" s="9">
        <f>AS184*(1-0.31599951626557)</f>
        <v>56.560000000000016</v>
      </c>
    </row>
    <row r="185" spans="1:253">
      <c r="A185" s="142" t="s">
        <v>151</v>
      </c>
      <c r="B185" s="143"/>
      <c r="C185" s="142" t="s">
        <v>369</v>
      </c>
      <c r="D185" s="143"/>
      <c r="E185" s="143"/>
      <c r="F185" s="143"/>
      <c r="G185" s="143"/>
      <c r="H185" s="143"/>
      <c r="I185" s="142" t="s">
        <v>579</v>
      </c>
      <c r="J185" s="143"/>
      <c r="K185" s="143"/>
      <c r="L185" s="143"/>
      <c r="M185" s="143"/>
      <c r="N185" s="143"/>
      <c r="O185" s="143"/>
      <c r="P185" s="143"/>
      <c r="Q185" s="143"/>
      <c r="R185" s="143"/>
      <c r="S185" s="143"/>
      <c r="T185" s="143"/>
      <c r="U185" s="143"/>
      <c r="V185" s="143"/>
      <c r="W185" s="143"/>
      <c r="X185" s="143"/>
      <c r="Y185" s="143"/>
      <c r="Z185" s="143"/>
      <c r="AA185" s="143"/>
      <c r="AB185" s="143"/>
      <c r="AC185" s="143"/>
      <c r="AD185" s="143"/>
      <c r="AE185" s="143"/>
      <c r="AF185" s="143"/>
      <c r="AG185" s="143"/>
      <c r="AH185" s="143"/>
      <c r="AI185" s="143"/>
      <c r="AJ185" s="143"/>
      <c r="AK185" s="143"/>
      <c r="AL185" s="142" t="s">
        <v>636</v>
      </c>
      <c r="AM185" s="143"/>
      <c r="AN185" s="140">
        <v>43.892000000000003</v>
      </c>
      <c r="AO185" s="141"/>
      <c r="AP185" s="141"/>
      <c r="AQ185" s="141"/>
      <c r="AR185" s="141"/>
      <c r="AS185" s="140">
        <v>682.99</v>
      </c>
      <c r="AT185" s="141"/>
      <c r="AU185" s="141"/>
      <c r="AV185" s="141"/>
      <c r="AW185" s="141"/>
      <c r="AX185" s="141"/>
      <c r="AY185" s="141"/>
      <c r="AZ185" s="141"/>
      <c r="BA185" s="140">
        <f>IR185*AN185+IS185*AN185</f>
        <v>29977.79708</v>
      </c>
      <c r="BB185" s="141"/>
      <c r="BC185" s="141"/>
      <c r="BD185" s="141"/>
      <c r="BE185" s="141"/>
      <c r="BF185" s="141"/>
      <c r="BG185" s="141"/>
      <c r="BH185" s="141"/>
      <c r="BI185" s="142" t="s">
        <v>653</v>
      </c>
      <c r="BJ185" s="143"/>
      <c r="BK185" s="143"/>
      <c r="BL185" s="143"/>
      <c r="BM185" s="143"/>
      <c r="BN185" s="143"/>
      <c r="IR185" s="9">
        <f>AS185*0.583288188699688</f>
        <v>398.37999999999994</v>
      </c>
      <c r="IS185" s="9">
        <f>AS185*(1-0.583288188699688)</f>
        <v>284.61000000000007</v>
      </c>
    </row>
    <row r="186" spans="1:253">
      <c r="A186" s="142"/>
      <c r="B186" s="143"/>
      <c r="C186" s="143"/>
      <c r="D186" s="143"/>
      <c r="E186" s="143"/>
      <c r="F186" s="143"/>
      <c r="G186" s="143"/>
      <c r="H186" s="143"/>
      <c r="I186" s="150" t="s">
        <v>580</v>
      </c>
      <c r="J186" s="151"/>
      <c r="K186" s="151"/>
      <c r="L186" s="151"/>
      <c r="M186" s="151"/>
      <c r="N186" s="151"/>
      <c r="O186" s="151"/>
      <c r="P186" s="151"/>
      <c r="Q186" s="151"/>
      <c r="R186" s="151"/>
      <c r="S186" s="151"/>
      <c r="T186" s="151"/>
      <c r="U186" s="151"/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/>
      <c r="AH186" s="151"/>
      <c r="AI186" s="151"/>
      <c r="AJ186" s="151"/>
      <c r="AK186" s="151"/>
      <c r="AL186" s="142"/>
      <c r="AM186" s="143"/>
      <c r="AN186" s="143"/>
      <c r="AO186" s="143"/>
      <c r="AP186" s="143"/>
      <c r="AQ186" s="143"/>
      <c r="AR186" s="143"/>
      <c r="AS186" s="143"/>
      <c r="AT186" s="143"/>
      <c r="AU186" s="143"/>
      <c r="AV186" s="143"/>
      <c r="AW186" s="143"/>
      <c r="AX186" s="143"/>
      <c r="AY186" s="143"/>
      <c r="AZ186" s="143"/>
      <c r="BA186" s="143"/>
      <c r="BB186" s="143"/>
      <c r="BC186" s="143"/>
      <c r="BD186" s="143"/>
      <c r="BE186" s="143"/>
      <c r="BF186" s="143"/>
      <c r="BG186" s="143"/>
      <c r="BH186" s="143"/>
      <c r="BI186" s="143"/>
      <c r="BJ186" s="143"/>
      <c r="BK186" s="143"/>
      <c r="BL186" s="143"/>
      <c r="BM186" s="143"/>
      <c r="BN186" s="143"/>
    </row>
    <row r="187" spans="1:253">
      <c r="A187" s="142" t="s">
        <v>152</v>
      </c>
      <c r="B187" s="143"/>
      <c r="C187" s="142" t="s">
        <v>370</v>
      </c>
      <c r="D187" s="143"/>
      <c r="E187" s="143"/>
      <c r="F187" s="143"/>
      <c r="G187" s="143"/>
      <c r="H187" s="143"/>
      <c r="I187" s="142" t="s">
        <v>581</v>
      </c>
      <c r="J187" s="143"/>
      <c r="K187" s="143"/>
      <c r="L187" s="143"/>
      <c r="M187" s="143"/>
      <c r="N187" s="143"/>
      <c r="O187" s="143"/>
      <c r="P187" s="143"/>
      <c r="Q187" s="143"/>
      <c r="R187" s="143"/>
      <c r="S187" s="143"/>
      <c r="T187" s="143"/>
      <c r="U187" s="143"/>
      <c r="V187" s="143"/>
      <c r="W187" s="143"/>
      <c r="X187" s="143"/>
      <c r="Y187" s="143"/>
      <c r="Z187" s="143"/>
      <c r="AA187" s="143"/>
      <c r="AB187" s="143"/>
      <c r="AC187" s="143"/>
      <c r="AD187" s="143"/>
      <c r="AE187" s="143"/>
      <c r="AF187" s="143"/>
      <c r="AG187" s="143"/>
      <c r="AH187" s="143"/>
      <c r="AI187" s="143"/>
      <c r="AJ187" s="143"/>
      <c r="AK187" s="143"/>
      <c r="AL187" s="142" t="s">
        <v>643</v>
      </c>
      <c r="AM187" s="143"/>
      <c r="AN187" s="140">
        <v>578.03129999999999</v>
      </c>
      <c r="AO187" s="141"/>
      <c r="AP187" s="141"/>
      <c r="AQ187" s="141"/>
      <c r="AR187" s="141"/>
      <c r="AS187" s="140">
        <v>8.81</v>
      </c>
      <c r="AT187" s="141"/>
      <c r="AU187" s="141"/>
      <c r="AV187" s="141"/>
      <c r="AW187" s="141"/>
      <c r="AX187" s="141"/>
      <c r="AY187" s="141"/>
      <c r="AZ187" s="141"/>
      <c r="BA187" s="140">
        <f>IR187*AN187+IS187*AN187</f>
        <v>5092.4557530000002</v>
      </c>
      <c r="BB187" s="141"/>
      <c r="BC187" s="141"/>
      <c r="BD187" s="141"/>
      <c r="BE187" s="141"/>
      <c r="BF187" s="141"/>
      <c r="BG187" s="141"/>
      <c r="BH187" s="141"/>
      <c r="BI187" s="142" t="s">
        <v>653</v>
      </c>
      <c r="BJ187" s="143"/>
      <c r="BK187" s="143"/>
      <c r="BL187" s="143"/>
      <c r="BM187" s="143"/>
      <c r="BN187" s="143"/>
      <c r="IR187" s="9">
        <f>AS187*0</f>
        <v>0</v>
      </c>
      <c r="IS187" s="9">
        <f>AS187*(1-0)</f>
        <v>8.81</v>
      </c>
    </row>
    <row r="188" spans="1:253">
      <c r="A188" s="148" t="s">
        <v>6</v>
      </c>
      <c r="B188" s="149"/>
      <c r="C188" s="148" t="s">
        <v>371</v>
      </c>
      <c r="D188" s="149"/>
      <c r="E188" s="149"/>
      <c r="F188" s="149"/>
      <c r="G188" s="149"/>
      <c r="H188" s="149"/>
      <c r="I188" s="148" t="s">
        <v>582</v>
      </c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T188" s="149"/>
      <c r="U188" s="149"/>
      <c r="V188" s="149"/>
      <c r="W188" s="149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/>
      <c r="AH188" s="149"/>
      <c r="AI188" s="149"/>
      <c r="AJ188" s="149"/>
      <c r="AK188" s="149"/>
      <c r="AL188" s="148" t="s">
        <v>6</v>
      </c>
      <c r="AM188" s="149"/>
      <c r="AN188" s="144" t="s">
        <v>6</v>
      </c>
      <c r="AO188" s="145"/>
      <c r="AP188" s="145"/>
      <c r="AQ188" s="145"/>
      <c r="AR188" s="145"/>
      <c r="AS188" s="144" t="s">
        <v>6</v>
      </c>
      <c r="AT188" s="145"/>
      <c r="AU188" s="145"/>
      <c r="AV188" s="145"/>
      <c r="AW188" s="145"/>
      <c r="AX188" s="145"/>
      <c r="AY188" s="145"/>
      <c r="AZ188" s="145"/>
      <c r="BA188" s="152">
        <f>SUM(BA189:BA204)</f>
        <v>250997.34713849999</v>
      </c>
      <c r="BB188" s="145"/>
      <c r="BC188" s="145"/>
      <c r="BD188" s="145"/>
      <c r="BE188" s="145"/>
      <c r="BF188" s="145"/>
      <c r="BG188" s="145"/>
      <c r="BH188" s="145"/>
      <c r="BI188" s="148" t="s">
        <v>6</v>
      </c>
      <c r="BJ188" s="149"/>
      <c r="BK188" s="149"/>
      <c r="BL188" s="149"/>
      <c r="BM188" s="149"/>
      <c r="BN188" s="149"/>
    </row>
    <row r="189" spans="1:253">
      <c r="A189" s="142" t="s">
        <v>153</v>
      </c>
      <c r="B189" s="143"/>
      <c r="C189" s="142" t="s">
        <v>372</v>
      </c>
      <c r="D189" s="143"/>
      <c r="E189" s="143"/>
      <c r="F189" s="143"/>
      <c r="G189" s="143"/>
      <c r="H189" s="143"/>
      <c r="I189" s="142" t="s">
        <v>583</v>
      </c>
      <c r="J189" s="143"/>
      <c r="K189" s="143"/>
      <c r="L189" s="143"/>
      <c r="M189" s="143"/>
      <c r="N189" s="143"/>
      <c r="O189" s="143"/>
      <c r="P189" s="143"/>
      <c r="Q189" s="143"/>
      <c r="R189" s="143"/>
      <c r="S189" s="143"/>
      <c r="T189" s="143"/>
      <c r="U189" s="143"/>
      <c r="V189" s="143"/>
      <c r="W189" s="143"/>
      <c r="X189" s="143"/>
      <c r="Y189" s="143"/>
      <c r="Z189" s="143"/>
      <c r="AA189" s="143"/>
      <c r="AB189" s="143"/>
      <c r="AC189" s="143"/>
      <c r="AD189" s="143"/>
      <c r="AE189" s="143"/>
      <c r="AF189" s="143"/>
      <c r="AG189" s="143"/>
      <c r="AH189" s="143"/>
      <c r="AI189" s="143"/>
      <c r="AJ189" s="143"/>
      <c r="AK189" s="143"/>
      <c r="AL189" s="142" t="s">
        <v>634</v>
      </c>
      <c r="AM189" s="143"/>
      <c r="AN189" s="140">
        <v>8</v>
      </c>
      <c r="AO189" s="141"/>
      <c r="AP189" s="141"/>
      <c r="AQ189" s="141"/>
      <c r="AR189" s="141"/>
      <c r="AS189" s="140">
        <v>9307</v>
      </c>
      <c r="AT189" s="141"/>
      <c r="AU189" s="141"/>
      <c r="AV189" s="141"/>
      <c r="AW189" s="141"/>
      <c r="AX189" s="141"/>
      <c r="AY189" s="141"/>
      <c r="AZ189" s="141"/>
      <c r="BA189" s="140">
        <f t="shared" ref="BA189:BA204" si="16">IR189*AN189+IS189*AN189</f>
        <v>74456</v>
      </c>
      <c r="BB189" s="141"/>
      <c r="BC189" s="141"/>
      <c r="BD189" s="141"/>
      <c r="BE189" s="141"/>
      <c r="BF189" s="141"/>
      <c r="BG189" s="141"/>
      <c r="BH189" s="141"/>
      <c r="BI189" s="142" t="s">
        <v>653</v>
      </c>
      <c r="BJ189" s="143"/>
      <c r="BK189" s="143"/>
      <c r="BL189" s="143"/>
      <c r="BM189" s="143"/>
      <c r="BN189" s="143"/>
      <c r="IR189" s="9">
        <f>AS189*1</f>
        <v>9307</v>
      </c>
      <c r="IS189" s="9">
        <f>AS189*(1-1)</f>
        <v>0</v>
      </c>
    </row>
    <row r="190" spans="1:253">
      <c r="A190" s="142" t="s">
        <v>154</v>
      </c>
      <c r="B190" s="143"/>
      <c r="C190" s="142" t="s">
        <v>373</v>
      </c>
      <c r="D190" s="143"/>
      <c r="E190" s="143"/>
      <c r="F190" s="143"/>
      <c r="G190" s="143"/>
      <c r="H190" s="143"/>
      <c r="I190" s="142" t="s">
        <v>584</v>
      </c>
      <c r="J190" s="143"/>
      <c r="K190" s="143"/>
      <c r="L190" s="143"/>
      <c r="M190" s="143"/>
      <c r="N190" s="143"/>
      <c r="O190" s="143"/>
      <c r="P190" s="143"/>
      <c r="Q190" s="143"/>
      <c r="R190" s="143"/>
      <c r="S190" s="143"/>
      <c r="T190" s="143"/>
      <c r="U190" s="143"/>
      <c r="V190" s="143"/>
      <c r="W190" s="143"/>
      <c r="X190" s="143"/>
      <c r="Y190" s="143"/>
      <c r="Z190" s="143"/>
      <c r="AA190" s="143"/>
      <c r="AB190" s="143"/>
      <c r="AC190" s="143"/>
      <c r="AD190" s="143"/>
      <c r="AE190" s="143"/>
      <c r="AF190" s="143"/>
      <c r="AG190" s="143"/>
      <c r="AH190" s="143"/>
      <c r="AI190" s="143"/>
      <c r="AJ190" s="143"/>
      <c r="AK190" s="143"/>
      <c r="AL190" s="142" t="s">
        <v>634</v>
      </c>
      <c r="AM190" s="143"/>
      <c r="AN190" s="140">
        <v>2</v>
      </c>
      <c r="AO190" s="141"/>
      <c r="AP190" s="141"/>
      <c r="AQ190" s="141"/>
      <c r="AR190" s="141"/>
      <c r="AS190" s="140">
        <v>5476.46</v>
      </c>
      <c r="AT190" s="141"/>
      <c r="AU190" s="141"/>
      <c r="AV190" s="141"/>
      <c r="AW190" s="141"/>
      <c r="AX190" s="141"/>
      <c r="AY190" s="141"/>
      <c r="AZ190" s="141"/>
      <c r="BA190" s="140">
        <f t="shared" si="16"/>
        <v>10952.92</v>
      </c>
      <c r="BB190" s="141"/>
      <c r="BC190" s="141"/>
      <c r="BD190" s="141"/>
      <c r="BE190" s="141"/>
      <c r="BF190" s="141"/>
      <c r="BG190" s="141"/>
      <c r="BH190" s="141"/>
      <c r="BI190" s="142" t="s">
        <v>653</v>
      </c>
      <c r="BJ190" s="143"/>
      <c r="BK190" s="143"/>
      <c r="BL190" s="143"/>
      <c r="BM190" s="143"/>
      <c r="BN190" s="143"/>
      <c r="IR190" s="9">
        <f>AS190*1</f>
        <v>5476.46</v>
      </c>
      <c r="IS190" s="9">
        <f>AS190*(1-1)</f>
        <v>0</v>
      </c>
    </row>
    <row r="191" spans="1:253">
      <c r="A191" s="142" t="s">
        <v>155</v>
      </c>
      <c r="B191" s="143"/>
      <c r="C191" s="142" t="s">
        <v>374</v>
      </c>
      <c r="D191" s="143"/>
      <c r="E191" s="143"/>
      <c r="F191" s="143"/>
      <c r="G191" s="143"/>
      <c r="H191" s="143"/>
      <c r="I191" s="142" t="s">
        <v>585</v>
      </c>
      <c r="J191" s="143"/>
      <c r="K191" s="143"/>
      <c r="L191" s="143"/>
      <c r="M191" s="143"/>
      <c r="N191" s="143"/>
      <c r="O191" s="143"/>
      <c r="P191" s="143"/>
      <c r="Q191" s="143"/>
      <c r="R191" s="143"/>
      <c r="S191" s="143"/>
      <c r="T191" s="143"/>
      <c r="U191" s="143"/>
      <c r="V191" s="143"/>
      <c r="W191" s="143"/>
      <c r="X191" s="143"/>
      <c r="Y191" s="143"/>
      <c r="Z191" s="143"/>
      <c r="AA191" s="143"/>
      <c r="AB191" s="143"/>
      <c r="AC191" s="143"/>
      <c r="AD191" s="143"/>
      <c r="AE191" s="143"/>
      <c r="AF191" s="143"/>
      <c r="AG191" s="143"/>
      <c r="AH191" s="143"/>
      <c r="AI191" s="143"/>
      <c r="AJ191" s="143"/>
      <c r="AK191" s="143"/>
      <c r="AL191" s="142" t="s">
        <v>634</v>
      </c>
      <c r="AM191" s="143"/>
      <c r="AN191" s="140">
        <v>7</v>
      </c>
      <c r="AO191" s="141"/>
      <c r="AP191" s="141"/>
      <c r="AQ191" s="141"/>
      <c r="AR191" s="141"/>
      <c r="AS191" s="140">
        <v>5215.5</v>
      </c>
      <c r="AT191" s="141"/>
      <c r="AU191" s="141"/>
      <c r="AV191" s="141"/>
      <c r="AW191" s="141"/>
      <c r="AX191" s="141"/>
      <c r="AY191" s="141"/>
      <c r="AZ191" s="141"/>
      <c r="BA191" s="140">
        <f t="shared" si="16"/>
        <v>36508.5</v>
      </c>
      <c r="BB191" s="141"/>
      <c r="BC191" s="141"/>
      <c r="BD191" s="141"/>
      <c r="BE191" s="141"/>
      <c r="BF191" s="141"/>
      <c r="BG191" s="141"/>
      <c r="BH191" s="141"/>
      <c r="BI191" s="142" t="s">
        <v>653</v>
      </c>
      <c r="BJ191" s="143"/>
      <c r="BK191" s="143"/>
      <c r="BL191" s="143"/>
      <c r="BM191" s="143"/>
      <c r="BN191" s="143"/>
      <c r="IR191" s="9">
        <f>AS191*1</f>
        <v>5215.5</v>
      </c>
      <c r="IS191" s="9">
        <f>AS191*(1-1)</f>
        <v>0</v>
      </c>
    </row>
    <row r="192" spans="1:253">
      <c r="A192" s="142" t="s">
        <v>156</v>
      </c>
      <c r="B192" s="143"/>
      <c r="C192" s="142" t="s">
        <v>375</v>
      </c>
      <c r="D192" s="143"/>
      <c r="E192" s="143"/>
      <c r="F192" s="143"/>
      <c r="G192" s="143"/>
      <c r="H192" s="143"/>
      <c r="I192" s="142" t="s">
        <v>586</v>
      </c>
      <c r="J192" s="143"/>
      <c r="K192" s="143"/>
      <c r="L192" s="143"/>
      <c r="M192" s="143"/>
      <c r="N192" s="143"/>
      <c r="O192" s="143"/>
      <c r="P192" s="143"/>
      <c r="Q192" s="143"/>
      <c r="R192" s="143"/>
      <c r="S192" s="143"/>
      <c r="T192" s="143"/>
      <c r="U192" s="143"/>
      <c r="V192" s="143"/>
      <c r="W192" s="143"/>
      <c r="X192" s="143"/>
      <c r="Y192" s="143"/>
      <c r="Z192" s="143"/>
      <c r="AA192" s="143"/>
      <c r="AB192" s="143"/>
      <c r="AC192" s="143"/>
      <c r="AD192" s="143"/>
      <c r="AE192" s="143"/>
      <c r="AF192" s="143"/>
      <c r="AG192" s="143"/>
      <c r="AH192" s="143"/>
      <c r="AI192" s="143"/>
      <c r="AJ192" s="143"/>
      <c r="AK192" s="143"/>
      <c r="AL192" s="142" t="s">
        <v>634</v>
      </c>
      <c r="AM192" s="143"/>
      <c r="AN192" s="140">
        <v>2</v>
      </c>
      <c r="AO192" s="141"/>
      <c r="AP192" s="141"/>
      <c r="AQ192" s="141"/>
      <c r="AR192" s="141"/>
      <c r="AS192" s="140">
        <v>1500</v>
      </c>
      <c r="AT192" s="141"/>
      <c r="AU192" s="141"/>
      <c r="AV192" s="141"/>
      <c r="AW192" s="141"/>
      <c r="AX192" s="141"/>
      <c r="AY192" s="141"/>
      <c r="AZ192" s="141"/>
      <c r="BA192" s="140">
        <f t="shared" si="16"/>
        <v>3000</v>
      </c>
      <c r="BB192" s="141"/>
      <c r="BC192" s="141"/>
      <c r="BD192" s="141"/>
      <c r="BE192" s="141"/>
      <c r="BF192" s="141"/>
      <c r="BG192" s="141"/>
      <c r="BH192" s="141"/>
      <c r="BI192" s="142" t="s">
        <v>653</v>
      </c>
      <c r="BJ192" s="143"/>
      <c r="BK192" s="143"/>
      <c r="BL192" s="143"/>
      <c r="BM192" s="143"/>
      <c r="BN192" s="143"/>
      <c r="IR192" s="9">
        <f>AS192*1</f>
        <v>1500</v>
      </c>
      <c r="IS192" s="9">
        <f>AS192*(1-1)</f>
        <v>0</v>
      </c>
    </row>
    <row r="193" spans="1:253">
      <c r="A193" s="142" t="s">
        <v>157</v>
      </c>
      <c r="B193" s="143"/>
      <c r="C193" s="142" t="s">
        <v>376</v>
      </c>
      <c r="D193" s="143"/>
      <c r="E193" s="143"/>
      <c r="F193" s="143"/>
      <c r="G193" s="143"/>
      <c r="H193" s="143"/>
      <c r="I193" s="142" t="s">
        <v>587</v>
      </c>
      <c r="J193" s="143"/>
      <c r="K193" s="143"/>
      <c r="L193" s="143"/>
      <c r="M193" s="143"/>
      <c r="N193" s="143"/>
      <c r="O193" s="143"/>
      <c r="P193" s="143"/>
      <c r="Q193" s="143"/>
      <c r="R193" s="143"/>
      <c r="S193" s="143"/>
      <c r="T193" s="143"/>
      <c r="U193" s="143"/>
      <c r="V193" s="143"/>
      <c r="W193" s="143"/>
      <c r="X193" s="143"/>
      <c r="Y193" s="143"/>
      <c r="Z193" s="143"/>
      <c r="AA193" s="143"/>
      <c r="AB193" s="143"/>
      <c r="AC193" s="143"/>
      <c r="AD193" s="143"/>
      <c r="AE193" s="143"/>
      <c r="AF193" s="143"/>
      <c r="AG193" s="143"/>
      <c r="AH193" s="143"/>
      <c r="AI193" s="143"/>
      <c r="AJ193" s="143"/>
      <c r="AK193" s="143"/>
      <c r="AL193" s="142" t="s">
        <v>637</v>
      </c>
      <c r="AM193" s="143"/>
      <c r="AN193" s="140">
        <v>1</v>
      </c>
      <c r="AO193" s="141"/>
      <c r="AP193" s="141"/>
      <c r="AQ193" s="141"/>
      <c r="AR193" s="141"/>
      <c r="AS193" s="140">
        <v>9850</v>
      </c>
      <c r="AT193" s="141"/>
      <c r="AU193" s="141"/>
      <c r="AV193" s="141"/>
      <c r="AW193" s="141"/>
      <c r="AX193" s="141"/>
      <c r="AY193" s="141"/>
      <c r="AZ193" s="141"/>
      <c r="BA193" s="140">
        <f t="shared" si="16"/>
        <v>9850</v>
      </c>
      <c r="BB193" s="141"/>
      <c r="BC193" s="141"/>
      <c r="BD193" s="141"/>
      <c r="BE193" s="141"/>
      <c r="BF193" s="141"/>
      <c r="BG193" s="141"/>
      <c r="BH193" s="141"/>
      <c r="BI193" s="142" t="s">
        <v>653</v>
      </c>
      <c r="BJ193" s="143"/>
      <c r="BK193" s="143"/>
      <c r="BL193" s="143"/>
      <c r="BM193" s="143"/>
      <c r="BN193" s="143"/>
      <c r="IR193" s="9">
        <f>AS193*1</f>
        <v>9850</v>
      </c>
      <c r="IS193" s="9">
        <f>AS193*(1-1)</f>
        <v>0</v>
      </c>
    </row>
    <row r="194" spans="1:253">
      <c r="A194" s="142" t="s">
        <v>158</v>
      </c>
      <c r="B194" s="143"/>
      <c r="C194" s="142" t="s">
        <v>377</v>
      </c>
      <c r="D194" s="143"/>
      <c r="E194" s="143"/>
      <c r="F194" s="143"/>
      <c r="G194" s="143"/>
      <c r="H194" s="143"/>
      <c r="I194" s="142" t="s">
        <v>588</v>
      </c>
      <c r="J194" s="143"/>
      <c r="K194" s="143"/>
      <c r="L194" s="143"/>
      <c r="M194" s="143"/>
      <c r="N194" s="143"/>
      <c r="O194" s="143"/>
      <c r="P194" s="143"/>
      <c r="Q194" s="143"/>
      <c r="R194" s="143"/>
      <c r="S194" s="143"/>
      <c r="T194" s="143"/>
      <c r="U194" s="143"/>
      <c r="V194" s="143"/>
      <c r="W194" s="143"/>
      <c r="X194" s="143"/>
      <c r="Y194" s="143"/>
      <c r="Z194" s="143"/>
      <c r="AA194" s="143"/>
      <c r="AB194" s="143"/>
      <c r="AC194" s="143"/>
      <c r="AD194" s="143"/>
      <c r="AE194" s="143"/>
      <c r="AF194" s="143"/>
      <c r="AG194" s="143"/>
      <c r="AH194" s="143"/>
      <c r="AI194" s="143"/>
      <c r="AJ194" s="143"/>
      <c r="AK194" s="143"/>
      <c r="AL194" s="142" t="s">
        <v>635</v>
      </c>
      <c r="AM194" s="143"/>
      <c r="AN194" s="140">
        <v>30.44</v>
      </c>
      <c r="AO194" s="141"/>
      <c r="AP194" s="141"/>
      <c r="AQ194" s="141"/>
      <c r="AR194" s="141"/>
      <c r="AS194" s="140">
        <v>518.01</v>
      </c>
      <c r="AT194" s="141"/>
      <c r="AU194" s="141"/>
      <c r="AV194" s="141"/>
      <c r="AW194" s="141"/>
      <c r="AX194" s="141"/>
      <c r="AY194" s="141"/>
      <c r="AZ194" s="141"/>
      <c r="BA194" s="140">
        <f t="shared" si="16"/>
        <v>15768.224399999999</v>
      </c>
      <c r="BB194" s="141"/>
      <c r="BC194" s="141"/>
      <c r="BD194" s="141"/>
      <c r="BE194" s="141"/>
      <c r="BF194" s="141"/>
      <c r="BG194" s="141"/>
      <c r="BH194" s="141"/>
      <c r="BI194" s="142" t="s">
        <v>655</v>
      </c>
      <c r="BJ194" s="143"/>
      <c r="BK194" s="143"/>
      <c r="BL194" s="143"/>
      <c r="BM194" s="143"/>
      <c r="BN194" s="143"/>
      <c r="IR194" s="9">
        <f>AS194*0.121059439006969</f>
        <v>62.710000000000008</v>
      </c>
      <c r="IS194" s="9">
        <f>AS194*(1-0.121059439006969)</f>
        <v>455.29999999999995</v>
      </c>
    </row>
    <row r="195" spans="1:253">
      <c r="A195" s="142" t="s">
        <v>159</v>
      </c>
      <c r="B195" s="143"/>
      <c r="C195" s="142" t="s">
        <v>378</v>
      </c>
      <c r="D195" s="143"/>
      <c r="E195" s="143"/>
      <c r="F195" s="143"/>
      <c r="G195" s="143"/>
      <c r="H195" s="143"/>
      <c r="I195" s="142" t="s">
        <v>589</v>
      </c>
      <c r="J195" s="143"/>
      <c r="K195" s="143"/>
      <c r="L195" s="143"/>
      <c r="M195" s="143"/>
      <c r="N195" s="143"/>
      <c r="O195" s="143"/>
      <c r="P195" s="143"/>
      <c r="Q195" s="143"/>
      <c r="R195" s="143"/>
      <c r="S195" s="143"/>
      <c r="T195" s="143"/>
      <c r="U195" s="143"/>
      <c r="V195" s="143"/>
      <c r="W195" s="143"/>
      <c r="X195" s="143"/>
      <c r="Y195" s="143"/>
      <c r="Z195" s="143"/>
      <c r="AA195" s="143"/>
      <c r="AB195" s="143"/>
      <c r="AC195" s="143"/>
      <c r="AD195" s="143"/>
      <c r="AE195" s="143"/>
      <c r="AF195" s="143"/>
      <c r="AG195" s="143"/>
      <c r="AH195" s="143"/>
      <c r="AI195" s="143"/>
      <c r="AJ195" s="143"/>
      <c r="AK195" s="143"/>
      <c r="AL195" s="142" t="s">
        <v>640</v>
      </c>
      <c r="AM195" s="143"/>
      <c r="AN195" s="140">
        <v>112.95</v>
      </c>
      <c r="AO195" s="141"/>
      <c r="AP195" s="141"/>
      <c r="AQ195" s="141"/>
      <c r="AR195" s="141"/>
      <c r="AS195" s="140">
        <v>46.3</v>
      </c>
      <c r="AT195" s="141"/>
      <c r="AU195" s="141"/>
      <c r="AV195" s="141"/>
      <c r="AW195" s="141"/>
      <c r="AX195" s="141"/>
      <c r="AY195" s="141"/>
      <c r="AZ195" s="141"/>
      <c r="BA195" s="140">
        <f t="shared" si="16"/>
        <v>5229.585</v>
      </c>
      <c r="BB195" s="141"/>
      <c r="BC195" s="141"/>
      <c r="BD195" s="141"/>
      <c r="BE195" s="141"/>
      <c r="BF195" s="141"/>
      <c r="BG195" s="141"/>
      <c r="BH195" s="141"/>
      <c r="BI195" s="142" t="s">
        <v>653</v>
      </c>
      <c r="BJ195" s="143"/>
      <c r="BK195" s="143"/>
      <c r="BL195" s="143"/>
      <c r="BM195" s="143"/>
      <c r="BN195" s="143"/>
      <c r="IR195" s="9">
        <f>AS195*0.1414686825054</f>
        <v>6.5500000000000203</v>
      </c>
      <c r="IS195" s="9">
        <f>AS195*(1-0.1414686825054)</f>
        <v>39.749999999999979</v>
      </c>
    </row>
    <row r="196" spans="1:253">
      <c r="A196" s="155" t="s">
        <v>160</v>
      </c>
      <c r="B196" s="156"/>
      <c r="C196" s="155" t="s">
        <v>379</v>
      </c>
      <c r="D196" s="156"/>
      <c r="E196" s="156"/>
      <c r="F196" s="156"/>
      <c r="G196" s="156"/>
      <c r="H196" s="156"/>
      <c r="I196" s="155" t="s">
        <v>590</v>
      </c>
      <c r="J196" s="156"/>
      <c r="K196" s="156"/>
      <c r="L196" s="156"/>
      <c r="M196" s="156"/>
      <c r="N196" s="156"/>
      <c r="O196" s="156"/>
      <c r="P196" s="156"/>
      <c r="Q196" s="156"/>
      <c r="R196" s="156"/>
      <c r="S196" s="156"/>
      <c r="T196" s="156"/>
      <c r="U196" s="156"/>
      <c r="V196" s="156"/>
      <c r="W196" s="156"/>
      <c r="X196" s="156"/>
      <c r="Y196" s="156"/>
      <c r="Z196" s="156"/>
      <c r="AA196" s="156"/>
      <c r="AB196" s="156"/>
      <c r="AC196" s="156"/>
      <c r="AD196" s="156"/>
      <c r="AE196" s="156"/>
      <c r="AF196" s="156"/>
      <c r="AG196" s="156"/>
      <c r="AH196" s="156"/>
      <c r="AI196" s="156"/>
      <c r="AJ196" s="156"/>
      <c r="AK196" s="156"/>
      <c r="AL196" s="155" t="s">
        <v>639</v>
      </c>
      <c r="AM196" s="156"/>
      <c r="AN196" s="153">
        <v>0.11294999999999999</v>
      </c>
      <c r="AO196" s="154"/>
      <c r="AP196" s="154"/>
      <c r="AQ196" s="154"/>
      <c r="AR196" s="154"/>
      <c r="AS196" s="153">
        <v>19299.060000000001</v>
      </c>
      <c r="AT196" s="154"/>
      <c r="AU196" s="154"/>
      <c r="AV196" s="154"/>
      <c r="AW196" s="154"/>
      <c r="AX196" s="154"/>
      <c r="AY196" s="154"/>
      <c r="AZ196" s="154"/>
      <c r="BA196" s="153">
        <f t="shared" si="16"/>
        <v>2179.8288270000003</v>
      </c>
      <c r="BB196" s="154"/>
      <c r="BC196" s="154"/>
      <c r="BD196" s="154"/>
      <c r="BE196" s="154"/>
      <c r="BF196" s="154"/>
      <c r="BG196" s="154"/>
      <c r="BH196" s="154"/>
      <c r="BI196" s="155" t="s">
        <v>653</v>
      </c>
      <c r="BJ196" s="156"/>
      <c r="BK196" s="156"/>
      <c r="BL196" s="156"/>
      <c r="BM196" s="156"/>
      <c r="BN196" s="156"/>
      <c r="IR196" s="10">
        <f>AS196*1</f>
        <v>19299.060000000001</v>
      </c>
      <c r="IS196" s="10">
        <f>AS196*(1-1)</f>
        <v>0</v>
      </c>
    </row>
    <row r="197" spans="1:253">
      <c r="A197" s="142" t="s">
        <v>161</v>
      </c>
      <c r="B197" s="143"/>
      <c r="C197" s="142" t="s">
        <v>380</v>
      </c>
      <c r="D197" s="143"/>
      <c r="E197" s="143"/>
      <c r="F197" s="143"/>
      <c r="G197" s="143"/>
      <c r="H197" s="143"/>
      <c r="I197" s="142" t="s">
        <v>591</v>
      </c>
      <c r="J197" s="143"/>
      <c r="K197" s="143"/>
      <c r="L197" s="143"/>
      <c r="M197" s="143"/>
      <c r="N197" s="143"/>
      <c r="O197" s="143"/>
      <c r="P197" s="143"/>
      <c r="Q197" s="143"/>
      <c r="R197" s="143"/>
      <c r="S197" s="143"/>
      <c r="T197" s="143"/>
      <c r="U197" s="143"/>
      <c r="V197" s="143"/>
      <c r="W197" s="143"/>
      <c r="X197" s="143"/>
      <c r="Y197" s="143"/>
      <c r="Z197" s="143"/>
      <c r="AA197" s="143"/>
      <c r="AB197" s="143"/>
      <c r="AC197" s="143"/>
      <c r="AD197" s="143"/>
      <c r="AE197" s="143"/>
      <c r="AF197" s="143"/>
      <c r="AG197" s="143"/>
      <c r="AH197" s="143"/>
      <c r="AI197" s="143"/>
      <c r="AJ197" s="143"/>
      <c r="AK197" s="143"/>
      <c r="AL197" s="142" t="s">
        <v>640</v>
      </c>
      <c r="AM197" s="143"/>
      <c r="AN197" s="140">
        <v>62.406999999999996</v>
      </c>
      <c r="AO197" s="141"/>
      <c r="AP197" s="141"/>
      <c r="AQ197" s="141"/>
      <c r="AR197" s="141"/>
      <c r="AS197" s="140">
        <v>148.99</v>
      </c>
      <c r="AT197" s="141"/>
      <c r="AU197" s="141"/>
      <c r="AV197" s="141"/>
      <c r="AW197" s="141"/>
      <c r="AX197" s="141"/>
      <c r="AY197" s="141"/>
      <c r="AZ197" s="141"/>
      <c r="BA197" s="140">
        <f t="shared" si="16"/>
        <v>9298.0189299999984</v>
      </c>
      <c r="BB197" s="141"/>
      <c r="BC197" s="141"/>
      <c r="BD197" s="141"/>
      <c r="BE197" s="141"/>
      <c r="BF197" s="141"/>
      <c r="BG197" s="141"/>
      <c r="BH197" s="141"/>
      <c r="BI197" s="142" t="s">
        <v>653</v>
      </c>
      <c r="BJ197" s="143"/>
      <c r="BK197" s="143"/>
      <c r="BL197" s="143"/>
      <c r="BM197" s="143"/>
      <c r="BN197" s="143"/>
      <c r="IR197" s="9">
        <f>AS197*0.0769179139539566</f>
        <v>11.459999999999994</v>
      </c>
      <c r="IS197" s="9">
        <f>AS197*(1-0.0769179139539566)</f>
        <v>137.53</v>
      </c>
    </row>
    <row r="198" spans="1:253">
      <c r="A198" s="155" t="s">
        <v>162</v>
      </c>
      <c r="B198" s="156"/>
      <c r="C198" s="155" t="s">
        <v>381</v>
      </c>
      <c r="D198" s="156"/>
      <c r="E198" s="156"/>
      <c r="F198" s="156"/>
      <c r="G198" s="156"/>
      <c r="H198" s="156"/>
      <c r="I198" s="155" t="s">
        <v>592</v>
      </c>
      <c r="J198" s="156"/>
      <c r="K198" s="156"/>
      <c r="L198" s="156"/>
      <c r="M198" s="156"/>
      <c r="N198" s="156"/>
      <c r="O198" s="156"/>
      <c r="P198" s="156"/>
      <c r="Q198" s="156"/>
      <c r="R198" s="156"/>
      <c r="S198" s="156"/>
      <c r="T198" s="156"/>
      <c r="U198" s="156"/>
      <c r="V198" s="156"/>
      <c r="W198" s="156"/>
      <c r="X198" s="156"/>
      <c r="Y198" s="156"/>
      <c r="Z198" s="156"/>
      <c r="AA198" s="156"/>
      <c r="AB198" s="156"/>
      <c r="AC198" s="156"/>
      <c r="AD198" s="156"/>
      <c r="AE198" s="156"/>
      <c r="AF198" s="156"/>
      <c r="AG198" s="156"/>
      <c r="AH198" s="156"/>
      <c r="AI198" s="156"/>
      <c r="AJ198" s="156"/>
      <c r="AK198" s="156"/>
      <c r="AL198" s="155" t="s">
        <v>639</v>
      </c>
      <c r="AM198" s="156"/>
      <c r="AN198" s="153">
        <v>6.8650000000000003E-2</v>
      </c>
      <c r="AO198" s="154"/>
      <c r="AP198" s="154"/>
      <c r="AQ198" s="154"/>
      <c r="AR198" s="154"/>
      <c r="AS198" s="153">
        <v>22883.79</v>
      </c>
      <c r="AT198" s="154"/>
      <c r="AU198" s="154"/>
      <c r="AV198" s="154"/>
      <c r="AW198" s="154"/>
      <c r="AX198" s="154"/>
      <c r="AY198" s="154"/>
      <c r="AZ198" s="154"/>
      <c r="BA198" s="153">
        <f t="shared" si="16"/>
        <v>1570.9721835</v>
      </c>
      <c r="BB198" s="154"/>
      <c r="BC198" s="154"/>
      <c r="BD198" s="154"/>
      <c r="BE198" s="154"/>
      <c r="BF198" s="154"/>
      <c r="BG198" s="154"/>
      <c r="BH198" s="154"/>
      <c r="BI198" s="155" t="s">
        <v>653</v>
      </c>
      <c r="BJ198" s="156"/>
      <c r="BK198" s="156"/>
      <c r="BL198" s="156"/>
      <c r="BM198" s="156"/>
      <c r="BN198" s="156"/>
      <c r="IR198" s="10">
        <f>AS198*1</f>
        <v>22883.79</v>
      </c>
      <c r="IS198" s="10">
        <f>AS198*(1-1)</f>
        <v>0</v>
      </c>
    </row>
    <row r="199" spans="1:253">
      <c r="A199" s="142" t="s">
        <v>163</v>
      </c>
      <c r="B199" s="143"/>
      <c r="C199" s="142" t="s">
        <v>382</v>
      </c>
      <c r="D199" s="143"/>
      <c r="E199" s="143"/>
      <c r="F199" s="143"/>
      <c r="G199" s="143"/>
      <c r="H199" s="143"/>
      <c r="I199" s="142" t="s">
        <v>593</v>
      </c>
      <c r="J199" s="143"/>
      <c r="K199" s="143"/>
      <c r="L199" s="143"/>
      <c r="M199" s="143"/>
      <c r="N199" s="143"/>
      <c r="O199" s="143"/>
      <c r="P199" s="143"/>
      <c r="Q199" s="143"/>
      <c r="R199" s="143"/>
      <c r="S199" s="143"/>
      <c r="T199" s="143"/>
      <c r="U199" s="143"/>
      <c r="V199" s="143"/>
      <c r="W199" s="143"/>
      <c r="X199" s="143"/>
      <c r="Y199" s="143"/>
      <c r="Z199" s="143"/>
      <c r="AA199" s="143"/>
      <c r="AB199" s="143"/>
      <c r="AC199" s="143"/>
      <c r="AD199" s="143"/>
      <c r="AE199" s="143"/>
      <c r="AF199" s="143"/>
      <c r="AG199" s="143"/>
      <c r="AH199" s="143"/>
      <c r="AI199" s="143"/>
      <c r="AJ199" s="143"/>
      <c r="AK199" s="143"/>
      <c r="AL199" s="142" t="s">
        <v>640</v>
      </c>
      <c r="AM199" s="143"/>
      <c r="AN199" s="140">
        <v>85.747</v>
      </c>
      <c r="AO199" s="141"/>
      <c r="AP199" s="141"/>
      <c r="AQ199" s="141"/>
      <c r="AR199" s="141"/>
      <c r="AS199" s="140">
        <v>53</v>
      </c>
      <c r="AT199" s="141"/>
      <c r="AU199" s="141"/>
      <c r="AV199" s="141"/>
      <c r="AW199" s="141"/>
      <c r="AX199" s="141"/>
      <c r="AY199" s="141"/>
      <c r="AZ199" s="141"/>
      <c r="BA199" s="140">
        <f t="shared" si="16"/>
        <v>4544.5910000000003</v>
      </c>
      <c r="BB199" s="141"/>
      <c r="BC199" s="141"/>
      <c r="BD199" s="141"/>
      <c r="BE199" s="141"/>
      <c r="BF199" s="141"/>
      <c r="BG199" s="141"/>
      <c r="BH199" s="141"/>
      <c r="BI199" s="142" t="s">
        <v>653</v>
      </c>
      <c r="BJ199" s="143"/>
      <c r="BK199" s="143"/>
      <c r="BL199" s="143"/>
      <c r="BM199" s="143"/>
      <c r="BN199" s="143"/>
      <c r="IR199" s="9">
        <f>AS199*0.139056603773585</f>
        <v>7.3700000000000054</v>
      </c>
      <c r="IS199" s="9">
        <f>AS199*(1-0.139056603773585)</f>
        <v>45.629999999999995</v>
      </c>
    </row>
    <row r="200" spans="1:253">
      <c r="A200" s="155" t="s">
        <v>164</v>
      </c>
      <c r="B200" s="156"/>
      <c r="C200" s="155" t="s">
        <v>383</v>
      </c>
      <c r="D200" s="156"/>
      <c r="E200" s="156"/>
      <c r="F200" s="156"/>
      <c r="G200" s="156"/>
      <c r="H200" s="156"/>
      <c r="I200" s="155" t="s">
        <v>594</v>
      </c>
      <c r="J200" s="156"/>
      <c r="K200" s="156"/>
      <c r="L200" s="156"/>
      <c r="M200" s="156"/>
      <c r="N200" s="156"/>
      <c r="O200" s="156"/>
      <c r="P200" s="156"/>
      <c r="Q200" s="156"/>
      <c r="R200" s="156"/>
      <c r="S200" s="156"/>
      <c r="T200" s="156"/>
      <c r="U200" s="156"/>
      <c r="V200" s="156"/>
      <c r="W200" s="156"/>
      <c r="X200" s="156"/>
      <c r="Y200" s="156"/>
      <c r="Z200" s="156"/>
      <c r="AA200" s="156"/>
      <c r="AB200" s="156"/>
      <c r="AC200" s="156"/>
      <c r="AD200" s="156"/>
      <c r="AE200" s="156"/>
      <c r="AF200" s="156"/>
      <c r="AG200" s="156"/>
      <c r="AH200" s="156"/>
      <c r="AI200" s="156"/>
      <c r="AJ200" s="156"/>
      <c r="AK200" s="156"/>
      <c r="AL200" s="155" t="s">
        <v>639</v>
      </c>
      <c r="AM200" s="156"/>
      <c r="AN200" s="153">
        <v>9.4320000000000001E-2</v>
      </c>
      <c r="AO200" s="154"/>
      <c r="AP200" s="154"/>
      <c r="AQ200" s="154"/>
      <c r="AR200" s="154"/>
      <c r="AS200" s="153">
        <v>27558.65</v>
      </c>
      <c r="AT200" s="154"/>
      <c r="AU200" s="154"/>
      <c r="AV200" s="154"/>
      <c r="AW200" s="154"/>
      <c r="AX200" s="154"/>
      <c r="AY200" s="154"/>
      <c r="AZ200" s="154"/>
      <c r="BA200" s="153">
        <f t="shared" si="16"/>
        <v>2599.3318680000002</v>
      </c>
      <c r="BB200" s="154"/>
      <c r="BC200" s="154"/>
      <c r="BD200" s="154"/>
      <c r="BE200" s="154"/>
      <c r="BF200" s="154"/>
      <c r="BG200" s="154"/>
      <c r="BH200" s="154"/>
      <c r="BI200" s="155" t="s">
        <v>653</v>
      </c>
      <c r="BJ200" s="156"/>
      <c r="BK200" s="156"/>
      <c r="BL200" s="156"/>
      <c r="BM200" s="156"/>
      <c r="BN200" s="156"/>
      <c r="IR200" s="10">
        <f>AS200*1</f>
        <v>27558.65</v>
      </c>
      <c r="IS200" s="10">
        <f>AS200*(1-1)</f>
        <v>0</v>
      </c>
    </row>
    <row r="201" spans="1:253">
      <c r="A201" s="142" t="s">
        <v>165</v>
      </c>
      <c r="B201" s="143"/>
      <c r="C201" s="142" t="s">
        <v>384</v>
      </c>
      <c r="D201" s="143"/>
      <c r="E201" s="143"/>
      <c r="F201" s="143"/>
      <c r="G201" s="143"/>
      <c r="H201" s="143"/>
      <c r="I201" s="142" t="s">
        <v>595</v>
      </c>
      <c r="J201" s="143"/>
      <c r="K201" s="143"/>
      <c r="L201" s="143"/>
      <c r="M201" s="143"/>
      <c r="N201" s="143"/>
      <c r="O201" s="143"/>
      <c r="P201" s="143"/>
      <c r="Q201" s="143"/>
      <c r="R201" s="143"/>
      <c r="S201" s="143"/>
      <c r="T201" s="143"/>
      <c r="U201" s="143"/>
      <c r="V201" s="143"/>
      <c r="W201" s="143"/>
      <c r="X201" s="143"/>
      <c r="Y201" s="143"/>
      <c r="Z201" s="143"/>
      <c r="AA201" s="143"/>
      <c r="AB201" s="143"/>
      <c r="AC201" s="143"/>
      <c r="AD201" s="143"/>
      <c r="AE201" s="143"/>
      <c r="AF201" s="143"/>
      <c r="AG201" s="143"/>
      <c r="AH201" s="143"/>
      <c r="AI201" s="143"/>
      <c r="AJ201" s="143"/>
      <c r="AK201" s="143"/>
      <c r="AL201" s="142" t="s">
        <v>640</v>
      </c>
      <c r="AM201" s="143"/>
      <c r="AN201" s="140">
        <v>354.94400000000002</v>
      </c>
      <c r="AO201" s="141"/>
      <c r="AP201" s="141"/>
      <c r="AQ201" s="141"/>
      <c r="AR201" s="141"/>
      <c r="AS201" s="140">
        <v>33.1</v>
      </c>
      <c r="AT201" s="141"/>
      <c r="AU201" s="141"/>
      <c r="AV201" s="141"/>
      <c r="AW201" s="141"/>
      <c r="AX201" s="141"/>
      <c r="AY201" s="141"/>
      <c r="AZ201" s="141"/>
      <c r="BA201" s="140">
        <f t="shared" si="16"/>
        <v>11748.646400000001</v>
      </c>
      <c r="BB201" s="141"/>
      <c r="BC201" s="141"/>
      <c r="BD201" s="141"/>
      <c r="BE201" s="141"/>
      <c r="BF201" s="141"/>
      <c r="BG201" s="141"/>
      <c r="BH201" s="141"/>
      <c r="BI201" s="142" t="s">
        <v>653</v>
      </c>
      <c r="BJ201" s="143"/>
      <c r="BK201" s="143"/>
      <c r="BL201" s="143"/>
      <c r="BM201" s="143"/>
      <c r="BN201" s="143"/>
      <c r="IR201" s="9">
        <f>AS201*0.16797583081571</f>
        <v>5.5600000000000014</v>
      </c>
      <c r="IS201" s="9">
        <f>AS201*(1-0.16797583081571)</f>
        <v>27.54</v>
      </c>
    </row>
    <row r="202" spans="1:253">
      <c r="A202" s="142" t="s">
        <v>166</v>
      </c>
      <c r="B202" s="143"/>
      <c r="C202" s="142" t="s">
        <v>385</v>
      </c>
      <c r="D202" s="143"/>
      <c r="E202" s="143"/>
      <c r="F202" s="143"/>
      <c r="G202" s="143"/>
      <c r="H202" s="143"/>
      <c r="I202" s="142" t="s">
        <v>596</v>
      </c>
      <c r="J202" s="143"/>
      <c r="K202" s="143"/>
      <c r="L202" s="143"/>
      <c r="M202" s="143"/>
      <c r="N202" s="143"/>
      <c r="O202" s="143"/>
      <c r="P202" s="143"/>
      <c r="Q202" s="143"/>
      <c r="R202" s="143"/>
      <c r="S202" s="143"/>
      <c r="T202" s="143"/>
      <c r="U202" s="143"/>
      <c r="V202" s="143"/>
      <c r="W202" s="143"/>
      <c r="X202" s="143"/>
      <c r="Y202" s="143"/>
      <c r="Z202" s="143"/>
      <c r="AA202" s="143"/>
      <c r="AB202" s="143"/>
      <c r="AC202" s="143"/>
      <c r="AD202" s="143"/>
      <c r="AE202" s="143"/>
      <c r="AF202" s="143"/>
      <c r="AG202" s="143"/>
      <c r="AH202" s="143"/>
      <c r="AI202" s="143"/>
      <c r="AJ202" s="143"/>
      <c r="AK202" s="143"/>
      <c r="AL202" s="142" t="s">
        <v>640</v>
      </c>
      <c r="AM202" s="143"/>
      <c r="AN202" s="140">
        <v>789.6</v>
      </c>
      <c r="AO202" s="141"/>
      <c r="AP202" s="141"/>
      <c r="AQ202" s="141"/>
      <c r="AR202" s="141"/>
      <c r="AS202" s="140">
        <v>29.3</v>
      </c>
      <c r="AT202" s="141"/>
      <c r="AU202" s="141"/>
      <c r="AV202" s="141"/>
      <c r="AW202" s="141"/>
      <c r="AX202" s="141"/>
      <c r="AY202" s="141"/>
      <c r="AZ202" s="141"/>
      <c r="BA202" s="140">
        <f t="shared" si="16"/>
        <v>23135.279999999999</v>
      </c>
      <c r="BB202" s="141"/>
      <c r="BC202" s="141"/>
      <c r="BD202" s="141"/>
      <c r="BE202" s="141"/>
      <c r="BF202" s="141"/>
      <c r="BG202" s="141"/>
      <c r="BH202" s="141"/>
      <c r="BI202" s="142" t="s">
        <v>653</v>
      </c>
      <c r="BJ202" s="143"/>
      <c r="BK202" s="143"/>
      <c r="BL202" s="143"/>
      <c r="BM202" s="143"/>
      <c r="BN202" s="143"/>
      <c r="IR202" s="9">
        <f>AS202*0.189761092150171</f>
        <v>5.5600000000000103</v>
      </c>
      <c r="IS202" s="9">
        <f>AS202*(1-0.189761092150171)</f>
        <v>23.739999999999991</v>
      </c>
    </row>
    <row r="203" spans="1:253">
      <c r="A203" s="155" t="s">
        <v>167</v>
      </c>
      <c r="B203" s="156"/>
      <c r="C203" s="155" t="s">
        <v>386</v>
      </c>
      <c r="D203" s="156"/>
      <c r="E203" s="156"/>
      <c r="F203" s="156"/>
      <c r="G203" s="156"/>
      <c r="H203" s="156"/>
      <c r="I203" s="155" t="s">
        <v>597</v>
      </c>
      <c r="J203" s="156"/>
      <c r="K203" s="156"/>
      <c r="L203" s="156"/>
      <c r="M203" s="156"/>
      <c r="N203" s="156"/>
      <c r="O203" s="156"/>
      <c r="P203" s="156"/>
      <c r="Q203" s="156"/>
      <c r="R203" s="156"/>
      <c r="S203" s="156"/>
      <c r="T203" s="156"/>
      <c r="U203" s="156"/>
      <c r="V203" s="156"/>
      <c r="W203" s="156"/>
      <c r="X203" s="156"/>
      <c r="Y203" s="156"/>
      <c r="Z203" s="156"/>
      <c r="AA203" s="156"/>
      <c r="AB203" s="156"/>
      <c r="AC203" s="156"/>
      <c r="AD203" s="156"/>
      <c r="AE203" s="156"/>
      <c r="AF203" s="156"/>
      <c r="AG203" s="156"/>
      <c r="AH203" s="156"/>
      <c r="AI203" s="156"/>
      <c r="AJ203" s="156"/>
      <c r="AK203" s="156"/>
      <c r="AL203" s="155" t="s">
        <v>639</v>
      </c>
      <c r="AM203" s="156"/>
      <c r="AN203" s="153">
        <v>1.2589999999999999</v>
      </c>
      <c r="AO203" s="154"/>
      <c r="AP203" s="154"/>
      <c r="AQ203" s="154"/>
      <c r="AR203" s="154"/>
      <c r="AS203" s="153">
        <v>28645.35</v>
      </c>
      <c r="AT203" s="154"/>
      <c r="AU203" s="154"/>
      <c r="AV203" s="154"/>
      <c r="AW203" s="154"/>
      <c r="AX203" s="154"/>
      <c r="AY203" s="154"/>
      <c r="AZ203" s="154"/>
      <c r="BA203" s="153">
        <f t="shared" si="16"/>
        <v>36064.495649999997</v>
      </c>
      <c r="BB203" s="154"/>
      <c r="BC203" s="154"/>
      <c r="BD203" s="154"/>
      <c r="BE203" s="154"/>
      <c r="BF203" s="154"/>
      <c r="BG203" s="154"/>
      <c r="BH203" s="154"/>
      <c r="BI203" s="155" t="s">
        <v>653</v>
      </c>
      <c r="BJ203" s="156"/>
      <c r="BK203" s="156"/>
      <c r="BL203" s="156"/>
      <c r="BM203" s="156"/>
      <c r="BN203" s="156"/>
      <c r="IR203" s="10">
        <f>AS203*1</f>
        <v>28645.35</v>
      </c>
      <c r="IS203" s="10">
        <f>AS203*(1-1)</f>
        <v>0</v>
      </c>
    </row>
    <row r="204" spans="1:253">
      <c r="A204" s="142" t="s">
        <v>168</v>
      </c>
      <c r="B204" s="143"/>
      <c r="C204" s="142" t="s">
        <v>387</v>
      </c>
      <c r="D204" s="143"/>
      <c r="E204" s="143"/>
      <c r="F204" s="143"/>
      <c r="G204" s="143"/>
      <c r="H204" s="143"/>
      <c r="I204" s="142" t="s">
        <v>598</v>
      </c>
      <c r="J204" s="143"/>
      <c r="K204" s="143"/>
      <c r="L204" s="143"/>
      <c r="M204" s="143"/>
      <c r="N204" s="143"/>
      <c r="O204" s="143"/>
      <c r="P204" s="143"/>
      <c r="Q204" s="143"/>
      <c r="R204" s="143"/>
      <c r="S204" s="143"/>
      <c r="T204" s="143"/>
      <c r="U204" s="143"/>
      <c r="V204" s="143"/>
      <c r="W204" s="143"/>
      <c r="X204" s="143"/>
      <c r="Y204" s="143"/>
      <c r="Z204" s="143"/>
      <c r="AA204" s="143"/>
      <c r="AB204" s="143"/>
      <c r="AC204" s="143"/>
      <c r="AD204" s="143"/>
      <c r="AE204" s="143"/>
      <c r="AF204" s="143"/>
      <c r="AG204" s="143"/>
      <c r="AH204" s="143"/>
      <c r="AI204" s="143"/>
      <c r="AJ204" s="143"/>
      <c r="AK204" s="143"/>
      <c r="AL204" s="142" t="s">
        <v>643</v>
      </c>
      <c r="AM204" s="143"/>
      <c r="AN204" s="140">
        <v>2272.7516000000001</v>
      </c>
      <c r="AO204" s="141"/>
      <c r="AP204" s="141"/>
      <c r="AQ204" s="141"/>
      <c r="AR204" s="141"/>
      <c r="AS204" s="140">
        <v>1.8</v>
      </c>
      <c r="AT204" s="141"/>
      <c r="AU204" s="141"/>
      <c r="AV204" s="141"/>
      <c r="AW204" s="141"/>
      <c r="AX204" s="141"/>
      <c r="AY204" s="141"/>
      <c r="AZ204" s="141"/>
      <c r="BA204" s="140">
        <f t="shared" si="16"/>
        <v>4090.9528800000003</v>
      </c>
      <c r="BB204" s="141"/>
      <c r="BC204" s="141"/>
      <c r="BD204" s="141"/>
      <c r="BE204" s="141"/>
      <c r="BF204" s="141"/>
      <c r="BG204" s="141"/>
      <c r="BH204" s="141"/>
      <c r="BI204" s="142" t="s">
        <v>653</v>
      </c>
      <c r="BJ204" s="143"/>
      <c r="BK204" s="143"/>
      <c r="BL204" s="143"/>
      <c r="BM204" s="143"/>
      <c r="BN204" s="143"/>
      <c r="IR204" s="9">
        <f>AS204*0</f>
        <v>0</v>
      </c>
      <c r="IS204" s="9">
        <f>AS204*(1-0)</f>
        <v>1.8</v>
      </c>
    </row>
    <row r="205" spans="1:253">
      <c r="A205" s="148" t="s">
        <v>6</v>
      </c>
      <c r="B205" s="149"/>
      <c r="C205" s="148" t="s">
        <v>388</v>
      </c>
      <c r="D205" s="149"/>
      <c r="E205" s="149"/>
      <c r="F205" s="149"/>
      <c r="G205" s="149"/>
      <c r="H205" s="149"/>
      <c r="I205" s="148" t="s">
        <v>599</v>
      </c>
      <c r="J205" s="149"/>
      <c r="K205" s="149"/>
      <c r="L205" s="149"/>
      <c r="M205" s="149"/>
      <c r="N205" s="149"/>
      <c r="O205" s="149"/>
      <c r="P205" s="149"/>
      <c r="Q205" s="149"/>
      <c r="R205" s="149"/>
      <c r="S205" s="149"/>
      <c r="T205" s="149"/>
      <c r="U205" s="149"/>
      <c r="V205" s="149"/>
      <c r="W205" s="149"/>
      <c r="X205" s="149"/>
      <c r="Y205" s="149"/>
      <c r="Z205" s="149"/>
      <c r="AA205" s="149"/>
      <c r="AB205" s="149"/>
      <c r="AC205" s="149"/>
      <c r="AD205" s="149"/>
      <c r="AE205" s="149"/>
      <c r="AF205" s="149"/>
      <c r="AG205" s="149"/>
      <c r="AH205" s="149"/>
      <c r="AI205" s="149"/>
      <c r="AJ205" s="149"/>
      <c r="AK205" s="149"/>
      <c r="AL205" s="148" t="s">
        <v>6</v>
      </c>
      <c r="AM205" s="149"/>
      <c r="AN205" s="144" t="s">
        <v>6</v>
      </c>
      <c r="AO205" s="145"/>
      <c r="AP205" s="145"/>
      <c r="AQ205" s="145"/>
      <c r="AR205" s="145"/>
      <c r="AS205" s="144" t="s">
        <v>6</v>
      </c>
      <c r="AT205" s="145"/>
      <c r="AU205" s="145"/>
      <c r="AV205" s="145"/>
      <c r="AW205" s="145"/>
      <c r="AX205" s="145"/>
      <c r="AY205" s="145"/>
      <c r="AZ205" s="145"/>
      <c r="BA205" s="152">
        <f>SUM(BA206:BA207)</f>
        <v>34856.725756</v>
      </c>
      <c r="BB205" s="145"/>
      <c r="BC205" s="145"/>
      <c r="BD205" s="145"/>
      <c r="BE205" s="145"/>
      <c r="BF205" s="145"/>
      <c r="BG205" s="145"/>
      <c r="BH205" s="145"/>
      <c r="BI205" s="148" t="s">
        <v>6</v>
      </c>
      <c r="BJ205" s="149"/>
      <c r="BK205" s="149"/>
      <c r="BL205" s="149"/>
      <c r="BM205" s="149"/>
      <c r="BN205" s="149"/>
    </row>
    <row r="206" spans="1:253">
      <c r="A206" s="142" t="s">
        <v>169</v>
      </c>
      <c r="B206" s="143"/>
      <c r="C206" s="142" t="s">
        <v>389</v>
      </c>
      <c r="D206" s="143"/>
      <c r="E206" s="143"/>
      <c r="F206" s="143"/>
      <c r="G206" s="143"/>
      <c r="H206" s="143"/>
      <c r="I206" s="142" t="s">
        <v>600</v>
      </c>
      <c r="J206" s="143"/>
      <c r="K206" s="143"/>
      <c r="L206" s="143"/>
      <c r="M206" s="143"/>
      <c r="N206" s="143"/>
      <c r="O206" s="143"/>
      <c r="P206" s="143"/>
      <c r="Q206" s="143"/>
      <c r="R206" s="143"/>
      <c r="S206" s="143"/>
      <c r="T206" s="143"/>
      <c r="U206" s="143"/>
      <c r="V206" s="143"/>
      <c r="W206" s="143"/>
      <c r="X206" s="143"/>
      <c r="Y206" s="143"/>
      <c r="Z206" s="143"/>
      <c r="AA206" s="143"/>
      <c r="AB206" s="143"/>
      <c r="AC206" s="143"/>
      <c r="AD206" s="143"/>
      <c r="AE206" s="143"/>
      <c r="AF206" s="143"/>
      <c r="AG206" s="143"/>
      <c r="AH206" s="143"/>
      <c r="AI206" s="143"/>
      <c r="AJ206" s="143"/>
      <c r="AK206" s="143"/>
      <c r="AL206" s="142" t="s">
        <v>636</v>
      </c>
      <c r="AM206" s="143"/>
      <c r="AN206" s="140">
        <v>153.9956</v>
      </c>
      <c r="AO206" s="141"/>
      <c r="AP206" s="141"/>
      <c r="AQ206" s="141"/>
      <c r="AR206" s="141"/>
      <c r="AS206" s="140">
        <v>194.51</v>
      </c>
      <c r="AT206" s="141"/>
      <c r="AU206" s="141"/>
      <c r="AV206" s="141"/>
      <c r="AW206" s="141"/>
      <c r="AX206" s="141"/>
      <c r="AY206" s="141"/>
      <c r="AZ206" s="141"/>
      <c r="BA206" s="140">
        <f>IR206*AN206+IS206*AN206</f>
        <v>29953.684155999996</v>
      </c>
      <c r="BB206" s="141"/>
      <c r="BC206" s="141"/>
      <c r="BD206" s="141"/>
      <c r="BE206" s="141"/>
      <c r="BF206" s="141"/>
      <c r="BG206" s="141"/>
      <c r="BH206" s="141"/>
      <c r="BI206" s="142" t="s">
        <v>653</v>
      </c>
      <c r="BJ206" s="143"/>
      <c r="BK206" s="143"/>
      <c r="BL206" s="143"/>
      <c r="BM206" s="143"/>
      <c r="BN206" s="143"/>
      <c r="IR206" s="9">
        <f>AS206*0.320137782119171</f>
        <v>62.269999999999946</v>
      </c>
      <c r="IS206" s="9">
        <f>AS206*(1-0.320137782119171)</f>
        <v>132.24000000000004</v>
      </c>
    </row>
    <row r="207" spans="1:253">
      <c r="A207" s="142" t="s">
        <v>170</v>
      </c>
      <c r="B207" s="143"/>
      <c r="C207" s="142" t="s">
        <v>390</v>
      </c>
      <c r="D207" s="143"/>
      <c r="E207" s="143"/>
      <c r="F207" s="143"/>
      <c r="G207" s="143"/>
      <c r="H207" s="143"/>
      <c r="I207" s="142" t="s">
        <v>601</v>
      </c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143"/>
      <c r="X207" s="143"/>
      <c r="Y207" s="143"/>
      <c r="Z207" s="143"/>
      <c r="AA207" s="143"/>
      <c r="AB207" s="143"/>
      <c r="AC207" s="143"/>
      <c r="AD207" s="143"/>
      <c r="AE207" s="143"/>
      <c r="AF207" s="143"/>
      <c r="AG207" s="143"/>
      <c r="AH207" s="143"/>
      <c r="AI207" s="143"/>
      <c r="AJ207" s="143"/>
      <c r="AK207" s="143"/>
      <c r="AL207" s="142" t="s">
        <v>636</v>
      </c>
      <c r="AM207" s="143"/>
      <c r="AN207" s="140">
        <v>24.638400000000001</v>
      </c>
      <c r="AO207" s="141"/>
      <c r="AP207" s="141"/>
      <c r="AQ207" s="141"/>
      <c r="AR207" s="141"/>
      <c r="AS207" s="140">
        <v>199</v>
      </c>
      <c r="AT207" s="141"/>
      <c r="AU207" s="141"/>
      <c r="AV207" s="141"/>
      <c r="AW207" s="141"/>
      <c r="AX207" s="141"/>
      <c r="AY207" s="141"/>
      <c r="AZ207" s="141"/>
      <c r="BA207" s="140">
        <f>IR207*AN207+IS207*AN207</f>
        <v>4903.0416000000005</v>
      </c>
      <c r="BB207" s="141"/>
      <c r="BC207" s="141"/>
      <c r="BD207" s="141"/>
      <c r="BE207" s="141"/>
      <c r="BF207" s="141"/>
      <c r="BG207" s="141"/>
      <c r="BH207" s="141"/>
      <c r="BI207" s="142" t="s">
        <v>653</v>
      </c>
      <c r="BJ207" s="143"/>
      <c r="BK207" s="143"/>
      <c r="BL207" s="143"/>
      <c r="BM207" s="143"/>
      <c r="BN207" s="143"/>
      <c r="IR207" s="9">
        <f>AS207*0.337688442211055</f>
        <v>67.199999999999946</v>
      </c>
      <c r="IS207" s="9">
        <f>AS207*(1-0.337688442211055)</f>
        <v>131.80000000000007</v>
      </c>
    </row>
    <row r="208" spans="1:253">
      <c r="A208" s="142"/>
      <c r="B208" s="143"/>
      <c r="C208" s="143"/>
      <c r="D208" s="143"/>
      <c r="E208" s="143"/>
      <c r="F208" s="143"/>
      <c r="G208" s="143"/>
      <c r="H208" s="143"/>
      <c r="I208" s="150" t="s">
        <v>602</v>
      </c>
      <c r="J208" s="151"/>
      <c r="K208" s="151"/>
      <c r="L208" s="151"/>
      <c r="M208" s="151"/>
      <c r="N208" s="151"/>
      <c r="O208" s="151"/>
      <c r="P208" s="151"/>
      <c r="Q208" s="151"/>
      <c r="R208" s="151"/>
      <c r="S208" s="151"/>
      <c r="T208" s="151"/>
      <c r="U208" s="15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/>
      <c r="AH208" s="151"/>
      <c r="AI208" s="151"/>
      <c r="AJ208" s="151"/>
      <c r="AK208" s="151"/>
      <c r="AL208" s="142"/>
      <c r="AM208" s="143"/>
      <c r="AN208" s="143"/>
      <c r="AO208" s="143"/>
      <c r="AP208" s="143"/>
      <c r="AQ208" s="143"/>
      <c r="AR208" s="143"/>
      <c r="AS208" s="143"/>
      <c r="AT208" s="143"/>
      <c r="AU208" s="143"/>
      <c r="AV208" s="143"/>
      <c r="AW208" s="143"/>
      <c r="AX208" s="143"/>
      <c r="AY208" s="143"/>
      <c r="AZ208" s="143"/>
      <c r="BA208" s="143"/>
      <c r="BB208" s="143"/>
      <c r="BC208" s="143"/>
      <c r="BD208" s="143"/>
      <c r="BE208" s="143"/>
      <c r="BF208" s="143"/>
      <c r="BG208" s="143"/>
      <c r="BH208" s="143"/>
      <c r="BI208" s="143"/>
      <c r="BJ208" s="143"/>
      <c r="BK208" s="143"/>
      <c r="BL208" s="143"/>
      <c r="BM208" s="143"/>
      <c r="BN208" s="143"/>
    </row>
    <row r="209" spans="1:253">
      <c r="A209" s="148" t="s">
        <v>6</v>
      </c>
      <c r="B209" s="149"/>
      <c r="C209" s="148" t="s">
        <v>95</v>
      </c>
      <c r="D209" s="149"/>
      <c r="E209" s="149"/>
      <c r="F209" s="149"/>
      <c r="G209" s="149"/>
      <c r="H209" s="149"/>
      <c r="I209" s="148" t="s">
        <v>603</v>
      </c>
      <c r="J209" s="149"/>
      <c r="K209" s="149"/>
      <c r="L209" s="149"/>
      <c r="M209" s="149"/>
      <c r="N209" s="149"/>
      <c r="O209" s="149"/>
      <c r="P209" s="149"/>
      <c r="Q209" s="149"/>
      <c r="R209" s="149"/>
      <c r="S209" s="149"/>
      <c r="T209" s="149"/>
      <c r="U209" s="149"/>
      <c r="V209" s="149"/>
      <c r="W209" s="149"/>
      <c r="X209" s="149"/>
      <c r="Y209" s="149"/>
      <c r="Z209" s="149"/>
      <c r="AA209" s="149"/>
      <c r="AB209" s="149"/>
      <c r="AC209" s="149"/>
      <c r="AD209" s="149"/>
      <c r="AE209" s="149"/>
      <c r="AF209" s="149"/>
      <c r="AG209" s="149"/>
      <c r="AH209" s="149"/>
      <c r="AI209" s="149"/>
      <c r="AJ209" s="149"/>
      <c r="AK209" s="149"/>
      <c r="AL209" s="148" t="s">
        <v>6</v>
      </c>
      <c r="AM209" s="149"/>
      <c r="AN209" s="144" t="s">
        <v>6</v>
      </c>
      <c r="AO209" s="145"/>
      <c r="AP209" s="145"/>
      <c r="AQ209" s="145"/>
      <c r="AR209" s="145"/>
      <c r="AS209" s="144" t="s">
        <v>6</v>
      </c>
      <c r="AT209" s="145"/>
      <c r="AU209" s="145"/>
      <c r="AV209" s="145"/>
      <c r="AW209" s="145"/>
      <c r="AX209" s="145"/>
      <c r="AY209" s="145"/>
      <c r="AZ209" s="145"/>
      <c r="BA209" s="152">
        <f>SUM(BA210:BA212)</f>
        <v>34014.980000000003</v>
      </c>
      <c r="BB209" s="145"/>
      <c r="BC209" s="145"/>
      <c r="BD209" s="145"/>
      <c r="BE209" s="145"/>
      <c r="BF209" s="145"/>
      <c r="BG209" s="145"/>
      <c r="BH209" s="145"/>
      <c r="BI209" s="148" t="s">
        <v>6</v>
      </c>
      <c r="BJ209" s="149"/>
      <c r="BK209" s="149"/>
      <c r="BL209" s="149"/>
      <c r="BM209" s="149"/>
      <c r="BN209" s="149"/>
    </row>
    <row r="210" spans="1:253">
      <c r="A210" s="142" t="s">
        <v>171</v>
      </c>
      <c r="B210" s="143"/>
      <c r="C210" s="142" t="s">
        <v>391</v>
      </c>
      <c r="D210" s="143"/>
      <c r="E210" s="143"/>
      <c r="F210" s="143"/>
      <c r="G210" s="143"/>
      <c r="H210" s="143"/>
      <c r="I210" s="142" t="s">
        <v>604</v>
      </c>
      <c r="J210" s="143"/>
      <c r="K210" s="143"/>
      <c r="L210" s="143"/>
      <c r="M210" s="143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  <c r="Y210" s="143"/>
      <c r="Z210" s="143"/>
      <c r="AA210" s="143"/>
      <c r="AB210" s="143"/>
      <c r="AC210" s="143"/>
      <c r="AD210" s="143"/>
      <c r="AE210" s="143"/>
      <c r="AF210" s="143"/>
      <c r="AG210" s="143"/>
      <c r="AH210" s="143"/>
      <c r="AI210" s="143"/>
      <c r="AJ210" s="143"/>
      <c r="AK210" s="143"/>
      <c r="AL210" s="142" t="s">
        <v>637</v>
      </c>
      <c r="AM210" s="143"/>
      <c r="AN210" s="140">
        <v>5</v>
      </c>
      <c r="AO210" s="141"/>
      <c r="AP210" s="141"/>
      <c r="AQ210" s="141"/>
      <c r="AR210" s="141"/>
      <c r="AS210" s="140">
        <v>2325</v>
      </c>
      <c r="AT210" s="141"/>
      <c r="AU210" s="141"/>
      <c r="AV210" s="141"/>
      <c r="AW210" s="141"/>
      <c r="AX210" s="141"/>
      <c r="AY210" s="141"/>
      <c r="AZ210" s="141"/>
      <c r="BA210" s="140">
        <f>IR210*AN210+IS210*AN210</f>
        <v>11625</v>
      </c>
      <c r="BB210" s="141"/>
      <c r="BC210" s="141"/>
      <c r="BD210" s="141"/>
      <c r="BE210" s="141"/>
      <c r="BF210" s="141"/>
      <c r="BG210" s="141"/>
      <c r="BH210" s="141"/>
      <c r="BI210" s="142" t="s">
        <v>653</v>
      </c>
      <c r="BJ210" s="143"/>
      <c r="BK210" s="143"/>
      <c r="BL210" s="143"/>
      <c r="BM210" s="143"/>
      <c r="BN210" s="143"/>
      <c r="IR210" s="9">
        <f>AS210*0.319088172043011</f>
        <v>741.88000000000056</v>
      </c>
      <c r="IS210" s="9">
        <f>AS210*(1-0.319088172043011)</f>
        <v>1583.1199999999994</v>
      </c>
    </row>
    <row r="211" spans="1:253">
      <c r="A211" s="142" t="s">
        <v>172</v>
      </c>
      <c r="B211" s="143"/>
      <c r="C211" s="142" t="s">
        <v>392</v>
      </c>
      <c r="D211" s="143"/>
      <c r="E211" s="143"/>
      <c r="F211" s="143"/>
      <c r="G211" s="143"/>
      <c r="H211" s="143"/>
      <c r="I211" s="142" t="s">
        <v>605</v>
      </c>
      <c r="J211" s="143"/>
      <c r="K211" s="143"/>
      <c r="L211" s="143"/>
      <c r="M211" s="143"/>
      <c r="N211" s="143"/>
      <c r="O211" s="143"/>
      <c r="P211" s="143"/>
      <c r="Q211" s="143"/>
      <c r="R211" s="143"/>
      <c r="S211" s="143"/>
      <c r="T211" s="143"/>
      <c r="U211" s="143"/>
      <c r="V211" s="143"/>
      <c r="W211" s="143"/>
      <c r="X211" s="143"/>
      <c r="Y211" s="143"/>
      <c r="Z211" s="143"/>
      <c r="AA211" s="143"/>
      <c r="AB211" s="143"/>
      <c r="AC211" s="143"/>
      <c r="AD211" s="143"/>
      <c r="AE211" s="143"/>
      <c r="AF211" s="143"/>
      <c r="AG211" s="143"/>
      <c r="AH211" s="143"/>
      <c r="AI211" s="143"/>
      <c r="AJ211" s="143"/>
      <c r="AK211" s="143"/>
      <c r="AL211" s="142" t="s">
        <v>637</v>
      </c>
      <c r="AM211" s="143"/>
      <c r="AN211" s="140">
        <v>1</v>
      </c>
      <c r="AO211" s="141"/>
      <c r="AP211" s="141"/>
      <c r="AQ211" s="141"/>
      <c r="AR211" s="141"/>
      <c r="AS211" s="140">
        <v>1750</v>
      </c>
      <c r="AT211" s="141"/>
      <c r="AU211" s="141"/>
      <c r="AV211" s="141"/>
      <c r="AW211" s="141"/>
      <c r="AX211" s="141"/>
      <c r="AY211" s="141"/>
      <c r="AZ211" s="141"/>
      <c r="BA211" s="140">
        <f>IR211*AN211+IS211*AN211</f>
        <v>1750</v>
      </c>
      <c r="BB211" s="141"/>
      <c r="BC211" s="141"/>
      <c r="BD211" s="141"/>
      <c r="BE211" s="141"/>
      <c r="BF211" s="141"/>
      <c r="BG211" s="141"/>
      <c r="BH211" s="141"/>
      <c r="BI211" s="142" t="s">
        <v>653</v>
      </c>
      <c r="BJ211" s="143"/>
      <c r="BK211" s="143"/>
      <c r="BL211" s="143"/>
      <c r="BM211" s="143"/>
      <c r="BN211" s="143"/>
      <c r="IR211" s="9">
        <f>AS211*0.369125714285714</f>
        <v>645.96999999999946</v>
      </c>
      <c r="IS211" s="9">
        <f>AS211*(1-0.369125714285714)</f>
        <v>1104.0300000000004</v>
      </c>
    </row>
    <row r="212" spans="1:253">
      <c r="A212" s="142" t="s">
        <v>173</v>
      </c>
      <c r="B212" s="143"/>
      <c r="C212" s="142" t="s">
        <v>393</v>
      </c>
      <c r="D212" s="143"/>
      <c r="E212" s="143"/>
      <c r="F212" s="143"/>
      <c r="G212" s="143"/>
      <c r="H212" s="143"/>
      <c r="I212" s="142" t="s">
        <v>606</v>
      </c>
      <c r="J212" s="143"/>
      <c r="K212" s="143"/>
      <c r="L212" s="143"/>
      <c r="M212" s="143"/>
      <c r="N212" s="143"/>
      <c r="O212" s="143"/>
      <c r="P212" s="143"/>
      <c r="Q212" s="143"/>
      <c r="R212" s="143"/>
      <c r="S212" s="143"/>
      <c r="T212" s="143"/>
      <c r="U212" s="143"/>
      <c r="V212" s="143"/>
      <c r="W212" s="143"/>
      <c r="X212" s="143"/>
      <c r="Y212" s="143"/>
      <c r="Z212" s="143"/>
      <c r="AA212" s="143"/>
      <c r="AB212" s="143"/>
      <c r="AC212" s="143"/>
      <c r="AD212" s="143"/>
      <c r="AE212" s="143"/>
      <c r="AF212" s="143"/>
      <c r="AG212" s="143"/>
      <c r="AH212" s="143"/>
      <c r="AI212" s="143"/>
      <c r="AJ212" s="143"/>
      <c r="AK212" s="143"/>
      <c r="AL212" s="142" t="s">
        <v>637</v>
      </c>
      <c r="AM212" s="143"/>
      <c r="AN212" s="140">
        <v>1</v>
      </c>
      <c r="AO212" s="141"/>
      <c r="AP212" s="141"/>
      <c r="AQ212" s="141"/>
      <c r="AR212" s="141"/>
      <c r="AS212" s="140">
        <v>20639.98</v>
      </c>
      <c r="AT212" s="141"/>
      <c r="AU212" s="141"/>
      <c r="AV212" s="141"/>
      <c r="AW212" s="141"/>
      <c r="AX212" s="141"/>
      <c r="AY212" s="141"/>
      <c r="AZ212" s="141"/>
      <c r="BA212" s="140">
        <f>IR212*AN212+IS212*AN212</f>
        <v>20639.980000000003</v>
      </c>
      <c r="BB212" s="141"/>
      <c r="BC212" s="141"/>
      <c r="BD212" s="141"/>
      <c r="BE212" s="141"/>
      <c r="BF212" s="141"/>
      <c r="BG212" s="141"/>
      <c r="BH212" s="141"/>
      <c r="BI212" s="142" t="s">
        <v>653</v>
      </c>
      <c r="BJ212" s="143"/>
      <c r="BK212" s="143"/>
      <c r="BL212" s="143"/>
      <c r="BM212" s="143"/>
      <c r="BN212" s="143"/>
      <c r="IR212" s="9">
        <f>AS212*0.798718312711543</f>
        <v>16485.529999999995</v>
      </c>
      <c r="IS212" s="9">
        <f>AS212*(1-0.798718312711543)</f>
        <v>4154.4500000000062</v>
      </c>
    </row>
    <row r="213" spans="1:253">
      <c r="A213" s="148" t="s">
        <v>6</v>
      </c>
      <c r="B213" s="149"/>
      <c r="C213" s="148" t="s">
        <v>97</v>
      </c>
      <c r="D213" s="149"/>
      <c r="E213" s="149"/>
      <c r="F213" s="149"/>
      <c r="G213" s="149"/>
      <c r="H213" s="149"/>
      <c r="I213" s="148" t="s">
        <v>607</v>
      </c>
      <c r="J213" s="149"/>
      <c r="K213" s="149"/>
      <c r="L213" s="149"/>
      <c r="M213" s="149"/>
      <c r="N213" s="149"/>
      <c r="O213" s="149"/>
      <c r="P213" s="149"/>
      <c r="Q213" s="149"/>
      <c r="R213" s="149"/>
      <c r="S213" s="149"/>
      <c r="T213" s="149"/>
      <c r="U213" s="149"/>
      <c r="V213" s="149"/>
      <c r="W213" s="149"/>
      <c r="X213" s="149"/>
      <c r="Y213" s="149"/>
      <c r="Z213" s="149"/>
      <c r="AA213" s="149"/>
      <c r="AB213" s="149"/>
      <c r="AC213" s="149"/>
      <c r="AD213" s="149"/>
      <c r="AE213" s="149"/>
      <c r="AF213" s="149"/>
      <c r="AG213" s="149"/>
      <c r="AH213" s="149"/>
      <c r="AI213" s="149"/>
      <c r="AJ213" s="149"/>
      <c r="AK213" s="149"/>
      <c r="AL213" s="148" t="s">
        <v>6</v>
      </c>
      <c r="AM213" s="149"/>
      <c r="AN213" s="144" t="s">
        <v>6</v>
      </c>
      <c r="AO213" s="145"/>
      <c r="AP213" s="145"/>
      <c r="AQ213" s="145"/>
      <c r="AR213" s="145"/>
      <c r="AS213" s="144" t="s">
        <v>6</v>
      </c>
      <c r="AT213" s="145"/>
      <c r="AU213" s="145"/>
      <c r="AV213" s="145"/>
      <c r="AW213" s="145"/>
      <c r="AX213" s="145"/>
      <c r="AY213" s="145"/>
      <c r="AZ213" s="145"/>
      <c r="BA213" s="152">
        <f>SUM(BA214:BA217)</f>
        <v>101424.8</v>
      </c>
      <c r="BB213" s="145"/>
      <c r="BC213" s="145"/>
      <c r="BD213" s="145"/>
      <c r="BE213" s="145"/>
      <c r="BF213" s="145"/>
      <c r="BG213" s="145"/>
      <c r="BH213" s="145"/>
      <c r="BI213" s="148" t="s">
        <v>6</v>
      </c>
      <c r="BJ213" s="149"/>
      <c r="BK213" s="149"/>
      <c r="BL213" s="149"/>
      <c r="BM213" s="149"/>
      <c r="BN213" s="149"/>
    </row>
    <row r="214" spans="1:253">
      <c r="A214" s="142" t="s">
        <v>174</v>
      </c>
      <c r="B214" s="143"/>
      <c r="C214" s="142" t="s">
        <v>394</v>
      </c>
      <c r="D214" s="143"/>
      <c r="E214" s="143"/>
      <c r="F214" s="143"/>
      <c r="G214" s="143"/>
      <c r="H214" s="143"/>
      <c r="I214" s="142" t="s">
        <v>608</v>
      </c>
      <c r="J214" s="143"/>
      <c r="K214" s="143"/>
      <c r="L214" s="143"/>
      <c r="M214" s="143"/>
      <c r="N214" s="143"/>
      <c r="O214" s="143"/>
      <c r="P214" s="143"/>
      <c r="Q214" s="143"/>
      <c r="R214" s="143"/>
      <c r="S214" s="143"/>
      <c r="T214" s="143"/>
      <c r="U214" s="143"/>
      <c r="V214" s="143"/>
      <c r="W214" s="143"/>
      <c r="X214" s="143"/>
      <c r="Y214" s="143"/>
      <c r="Z214" s="143"/>
      <c r="AA214" s="143"/>
      <c r="AB214" s="143"/>
      <c r="AC214" s="143"/>
      <c r="AD214" s="143"/>
      <c r="AE214" s="143"/>
      <c r="AF214" s="143"/>
      <c r="AG214" s="143"/>
      <c r="AH214" s="143"/>
      <c r="AI214" s="143"/>
      <c r="AJ214" s="143"/>
      <c r="AK214" s="143"/>
      <c r="AL214" s="142" t="s">
        <v>635</v>
      </c>
      <c r="AM214" s="143"/>
      <c r="AN214" s="140">
        <v>187.5</v>
      </c>
      <c r="AO214" s="141"/>
      <c r="AP214" s="141"/>
      <c r="AQ214" s="141"/>
      <c r="AR214" s="141"/>
      <c r="AS214" s="140">
        <v>386.5</v>
      </c>
      <c r="AT214" s="141"/>
      <c r="AU214" s="141"/>
      <c r="AV214" s="141"/>
      <c r="AW214" s="141"/>
      <c r="AX214" s="141"/>
      <c r="AY214" s="141"/>
      <c r="AZ214" s="141"/>
      <c r="BA214" s="140">
        <f>IR214*AN214+IS214*AN214</f>
        <v>72468.75</v>
      </c>
      <c r="BB214" s="141"/>
      <c r="BC214" s="141"/>
      <c r="BD214" s="141"/>
      <c r="BE214" s="141"/>
      <c r="BF214" s="141"/>
      <c r="BG214" s="141"/>
      <c r="BH214" s="141"/>
      <c r="BI214" s="142" t="s">
        <v>653</v>
      </c>
      <c r="BJ214" s="143"/>
      <c r="BK214" s="143"/>
      <c r="BL214" s="143"/>
      <c r="BM214" s="143"/>
      <c r="BN214" s="143"/>
      <c r="IR214" s="9">
        <f>AS214*0.682069857697283</f>
        <v>263.61999999999989</v>
      </c>
      <c r="IS214" s="9">
        <f>AS214*(1-0.682069857697283)</f>
        <v>122.88000000000012</v>
      </c>
    </row>
    <row r="215" spans="1:253">
      <c r="A215" s="142"/>
      <c r="B215" s="143"/>
      <c r="C215" s="143"/>
      <c r="D215" s="143"/>
      <c r="E215" s="143"/>
      <c r="F215" s="143"/>
      <c r="G215" s="143"/>
      <c r="H215" s="143"/>
      <c r="I215" s="150" t="s">
        <v>609</v>
      </c>
      <c r="J215" s="151"/>
      <c r="K215" s="151"/>
      <c r="L215" s="151"/>
      <c r="M215" s="151"/>
      <c r="N215" s="151"/>
      <c r="O215" s="151"/>
      <c r="P215" s="151"/>
      <c r="Q215" s="151"/>
      <c r="R215" s="151"/>
      <c r="S215" s="151"/>
      <c r="T215" s="151"/>
      <c r="U215" s="151"/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/>
      <c r="AH215" s="151"/>
      <c r="AI215" s="151"/>
      <c r="AJ215" s="151"/>
      <c r="AK215" s="151"/>
      <c r="AL215" s="142"/>
      <c r="AM215" s="143"/>
      <c r="AN215" s="143"/>
      <c r="AO215" s="143"/>
      <c r="AP215" s="143"/>
      <c r="AQ215" s="143"/>
      <c r="AR215" s="143"/>
      <c r="AS215" s="143"/>
      <c r="AT215" s="143"/>
      <c r="AU215" s="143"/>
      <c r="AV215" s="143"/>
      <c r="AW215" s="143"/>
      <c r="AX215" s="143"/>
      <c r="AY215" s="143"/>
      <c r="AZ215" s="143"/>
      <c r="BA215" s="143"/>
      <c r="BB215" s="143"/>
      <c r="BC215" s="143"/>
      <c r="BD215" s="143"/>
      <c r="BE215" s="143"/>
      <c r="BF215" s="143"/>
      <c r="BG215" s="143"/>
      <c r="BH215" s="143"/>
      <c r="BI215" s="143"/>
      <c r="BJ215" s="143"/>
      <c r="BK215" s="143"/>
      <c r="BL215" s="143"/>
      <c r="BM215" s="143"/>
      <c r="BN215" s="143"/>
    </row>
    <row r="216" spans="1:253">
      <c r="A216" s="142" t="s">
        <v>175</v>
      </c>
      <c r="B216" s="143"/>
      <c r="C216" s="142" t="s">
        <v>395</v>
      </c>
      <c r="D216" s="143"/>
      <c r="E216" s="143"/>
      <c r="F216" s="143"/>
      <c r="G216" s="143"/>
      <c r="H216" s="143"/>
      <c r="I216" s="142" t="s">
        <v>610</v>
      </c>
      <c r="J216" s="143"/>
      <c r="K216" s="143"/>
      <c r="L216" s="143"/>
      <c r="M216" s="143"/>
      <c r="N216" s="143"/>
      <c r="O216" s="143"/>
      <c r="P216" s="143"/>
      <c r="Q216" s="143"/>
      <c r="R216" s="143"/>
      <c r="S216" s="143"/>
      <c r="T216" s="143"/>
      <c r="U216" s="143"/>
      <c r="V216" s="143"/>
      <c r="W216" s="143"/>
      <c r="X216" s="143"/>
      <c r="Y216" s="143"/>
      <c r="Z216" s="143"/>
      <c r="AA216" s="143"/>
      <c r="AB216" s="143"/>
      <c r="AC216" s="143"/>
      <c r="AD216" s="143"/>
      <c r="AE216" s="143"/>
      <c r="AF216" s="143"/>
      <c r="AG216" s="143"/>
      <c r="AH216" s="143"/>
      <c r="AI216" s="143"/>
      <c r="AJ216" s="143"/>
      <c r="AK216" s="143"/>
      <c r="AL216" s="142" t="s">
        <v>635</v>
      </c>
      <c r="AM216" s="143"/>
      <c r="AN216" s="140">
        <v>295.85000000000002</v>
      </c>
      <c r="AO216" s="141"/>
      <c r="AP216" s="141"/>
      <c r="AQ216" s="141"/>
      <c r="AR216" s="141"/>
      <c r="AS216" s="140">
        <v>48</v>
      </c>
      <c r="AT216" s="141"/>
      <c r="AU216" s="141"/>
      <c r="AV216" s="141"/>
      <c r="AW216" s="141"/>
      <c r="AX216" s="141"/>
      <c r="AY216" s="141"/>
      <c r="AZ216" s="141"/>
      <c r="BA216" s="140">
        <f>IR216*AN216+IS216*AN216</f>
        <v>14200.800000000001</v>
      </c>
      <c r="BB216" s="141"/>
      <c r="BC216" s="141"/>
      <c r="BD216" s="141"/>
      <c r="BE216" s="141"/>
      <c r="BF216" s="141"/>
      <c r="BG216" s="141"/>
      <c r="BH216" s="141"/>
      <c r="BI216" s="142" t="s">
        <v>653</v>
      </c>
      <c r="BJ216" s="143"/>
      <c r="BK216" s="143"/>
      <c r="BL216" s="143"/>
      <c r="BM216" s="143"/>
      <c r="BN216" s="143"/>
      <c r="IR216" s="9">
        <f>AS216*0</f>
        <v>0</v>
      </c>
      <c r="IS216" s="9">
        <f>AS216*(1-0)</f>
        <v>48</v>
      </c>
    </row>
    <row r="217" spans="1:253">
      <c r="A217" s="155" t="s">
        <v>176</v>
      </c>
      <c r="B217" s="156"/>
      <c r="C217" s="155" t="s">
        <v>396</v>
      </c>
      <c r="D217" s="156"/>
      <c r="E217" s="156"/>
      <c r="F217" s="156"/>
      <c r="G217" s="156"/>
      <c r="H217" s="156"/>
      <c r="I217" s="155" t="s">
        <v>611</v>
      </c>
      <c r="J217" s="156"/>
      <c r="K217" s="156"/>
      <c r="L217" s="156"/>
      <c r="M217" s="156"/>
      <c r="N217" s="156"/>
      <c r="O217" s="156"/>
      <c r="P217" s="156"/>
      <c r="Q217" s="156"/>
      <c r="R217" s="156"/>
      <c r="S217" s="156"/>
      <c r="T217" s="156"/>
      <c r="U217" s="156"/>
      <c r="V217" s="156"/>
      <c r="W217" s="156"/>
      <c r="X217" s="156"/>
      <c r="Y217" s="156"/>
      <c r="Z217" s="156"/>
      <c r="AA217" s="156"/>
      <c r="AB217" s="156"/>
      <c r="AC217" s="156"/>
      <c r="AD217" s="156"/>
      <c r="AE217" s="156"/>
      <c r="AF217" s="156"/>
      <c r="AG217" s="156"/>
      <c r="AH217" s="156"/>
      <c r="AI217" s="156"/>
      <c r="AJ217" s="156"/>
      <c r="AK217" s="156"/>
      <c r="AL217" s="155" t="s">
        <v>637</v>
      </c>
      <c r="AM217" s="156"/>
      <c r="AN217" s="153">
        <v>25</v>
      </c>
      <c r="AO217" s="154"/>
      <c r="AP217" s="154"/>
      <c r="AQ217" s="154"/>
      <c r="AR217" s="154"/>
      <c r="AS217" s="153">
        <v>590.21</v>
      </c>
      <c r="AT217" s="154"/>
      <c r="AU217" s="154"/>
      <c r="AV217" s="154"/>
      <c r="AW217" s="154"/>
      <c r="AX217" s="154"/>
      <c r="AY217" s="154"/>
      <c r="AZ217" s="154"/>
      <c r="BA217" s="153">
        <f>IR217*AN217+IS217*AN217</f>
        <v>14755.25</v>
      </c>
      <c r="BB217" s="154"/>
      <c r="BC217" s="154"/>
      <c r="BD217" s="154"/>
      <c r="BE217" s="154"/>
      <c r="BF217" s="154"/>
      <c r="BG217" s="154"/>
      <c r="BH217" s="154"/>
      <c r="BI217" s="155" t="s">
        <v>653</v>
      </c>
      <c r="BJ217" s="156"/>
      <c r="BK217" s="156"/>
      <c r="BL217" s="156"/>
      <c r="BM217" s="156"/>
      <c r="BN217" s="156"/>
      <c r="IR217" s="10">
        <f>AS217*1</f>
        <v>590.21</v>
      </c>
      <c r="IS217" s="10">
        <f>AS217*(1-1)</f>
        <v>0</v>
      </c>
    </row>
    <row r="218" spans="1:253">
      <c r="A218" s="148" t="s">
        <v>6</v>
      </c>
      <c r="B218" s="149"/>
      <c r="C218" s="148" t="s">
        <v>102</v>
      </c>
      <c r="D218" s="149"/>
      <c r="E218" s="149"/>
      <c r="F218" s="149"/>
      <c r="G218" s="149"/>
      <c r="H218" s="149"/>
      <c r="I218" s="148" t="s">
        <v>612</v>
      </c>
      <c r="J218" s="149"/>
      <c r="K218" s="149"/>
      <c r="L218" s="149"/>
      <c r="M218" s="149"/>
      <c r="N218" s="149"/>
      <c r="O218" s="149"/>
      <c r="P218" s="149"/>
      <c r="Q218" s="149"/>
      <c r="R218" s="149"/>
      <c r="S218" s="149"/>
      <c r="T218" s="149"/>
      <c r="U218" s="149"/>
      <c r="V218" s="149"/>
      <c r="W218" s="149"/>
      <c r="X218" s="149"/>
      <c r="Y218" s="149"/>
      <c r="Z218" s="149"/>
      <c r="AA218" s="149"/>
      <c r="AB218" s="149"/>
      <c r="AC218" s="149"/>
      <c r="AD218" s="149"/>
      <c r="AE218" s="149"/>
      <c r="AF218" s="149"/>
      <c r="AG218" s="149"/>
      <c r="AH218" s="149"/>
      <c r="AI218" s="149"/>
      <c r="AJ218" s="149"/>
      <c r="AK218" s="149"/>
      <c r="AL218" s="148" t="s">
        <v>6</v>
      </c>
      <c r="AM218" s="149"/>
      <c r="AN218" s="144" t="s">
        <v>6</v>
      </c>
      <c r="AO218" s="145"/>
      <c r="AP218" s="145"/>
      <c r="AQ218" s="145"/>
      <c r="AR218" s="145"/>
      <c r="AS218" s="144" t="s">
        <v>6</v>
      </c>
      <c r="AT218" s="145"/>
      <c r="AU218" s="145"/>
      <c r="AV218" s="145"/>
      <c r="AW218" s="145"/>
      <c r="AX218" s="145"/>
      <c r="AY218" s="145"/>
      <c r="AZ218" s="145"/>
      <c r="BA218" s="152">
        <f>SUM(BA219:BA219)</f>
        <v>18459.2</v>
      </c>
      <c r="BB218" s="145"/>
      <c r="BC218" s="145"/>
      <c r="BD218" s="145"/>
      <c r="BE218" s="145"/>
      <c r="BF218" s="145"/>
      <c r="BG218" s="145"/>
      <c r="BH218" s="145"/>
      <c r="BI218" s="148" t="s">
        <v>6</v>
      </c>
      <c r="BJ218" s="149"/>
      <c r="BK218" s="149"/>
      <c r="BL218" s="149"/>
      <c r="BM218" s="149"/>
      <c r="BN218" s="149"/>
    </row>
    <row r="219" spans="1:253">
      <c r="A219" s="142" t="s">
        <v>177</v>
      </c>
      <c r="B219" s="143"/>
      <c r="C219" s="142" t="s">
        <v>397</v>
      </c>
      <c r="D219" s="143"/>
      <c r="E219" s="143"/>
      <c r="F219" s="143"/>
      <c r="G219" s="143"/>
      <c r="H219" s="143"/>
      <c r="I219" s="142" t="s">
        <v>613</v>
      </c>
      <c r="J219" s="143"/>
      <c r="K219" s="143"/>
      <c r="L219" s="143"/>
      <c r="M219" s="143"/>
      <c r="N219" s="143"/>
      <c r="O219" s="143"/>
      <c r="P219" s="143"/>
      <c r="Q219" s="143"/>
      <c r="R219" s="143"/>
      <c r="S219" s="143"/>
      <c r="T219" s="143"/>
      <c r="U219" s="143"/>
      <c r="V219" s="143"/>
      <c r="W219" s="143"/>
      <c r="X219" s="143"/>
      <c r="Y219" s="143"/>
      <c r="Z219" s="143"/>
      <c r="AA219" s="143"/>
      <c r="AB219" s="143"/>
      <c r="AC219" s="143"/>
      <c r="AD219" s="143"/>
      <c r="AE219" s="143"/>
      <c r="AF219" s="143"/>
      <c r="AG219" s="143"/>
      <c r="AH219" s="143"/>
      <c r="AI219" s="143"/>
      <c r="AJ219" s="143"/>
      <c r="AK219" s="143"/>
      <c r="AL219" s="142" t="s">
        <v>638</v>
      </c>
      <c r="AM219" s="143"/>
      <c r="AN219" s="140">
        <v>13.9</v>
      </c>
      <c r="AO219" s="141"/>
      <c r="AP219" s="141"/>
      <c r="AQ219" s="141"/>
      <c r="AR219" s="141"/>
      <c r="AS219" s="140">
        <v>1328</v>
      </c>
      <c r="AT219" s="141"/>
      <c r="AU219" s="141"/>
      <c r="AV219" s="141"/>
      <c r="AW219" s="141"/>
      <c r="AX219" s="141"/>
      <c r="AY219" s="141"/>
      <c r="AZ219" s="141"/>
      <c r="BA219" s="140">
        <f>IR219*AN219+IS219*AN219</f>
        <v>18459.2</v>
      </c>
      <c r="BB219" s="141"/>
      <c r="BC219" s="141"/>
      <c r="BD219" s="141"/>
      <c r="BE219" s="141"/>
      <c r="BF219" s="141"/>
      <c r="BG219" s="141"/>
      <c r="BH219" s="141"/>
      <c r="BI219" s="142" t="s">
        <v>653</v>
      </c>
      <c r="BJ219" s="143"/>
      <c r="BK219" s="143"/>
      <c r="BL219" s="143"/>
      <c r="BM219" s="143"/>
      <c r="BN219" s="143"/>
      <c r="IR219" s="9">
        <f>AS219*0</f>
        <v>0</v>
      </c>
      <c r="IS219" s="9">
        <f>AS219*(1-0)</f>
        <v>1328</v>
      </c>
    </row>
    <row r="220" spans="1:253">
      <c r="A220" s="142"/>
      <c r="B220" s="143"/>
      <c r="C220" s="143"/>
      <c r="D220" s="143"/>
      <c r="E220" s="143"/>
      <c r="F220" s="143"/>
      <c r="G220" s="143"/>
      <c r="H220" s="143"/>
      <c r="I220" s="150" t="s">
        <v>614</v>
      </c>
      <c r="J220" s="151"/>
      <c r="K220" s="151"/>
      <c r="L220" s="151"/>
      <c r="M220" s="151"/>
      <c r="N220" s="151"/>
      <c r="O220" s="151"/>
      <c r="P220" s="151"/>
      <c r="Q220" s="151"/>
      <c r="R220" s="151"/>
      <c r="S220" s="151"/>
      <c r="T220" s="151"/>
      <c r="U220" s="151"/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/>
      <c r="AH220" s="151"/>
      <c r="AI220" s="151"/>
      <c r="AJ220" s="151"/>
      <c r="AK220" s="151"/>
      <c r="AL220" s="142"/>
      <c r="AM220" s="143"/>
      <c r="AN220" s="143"/>
      <c r="AO220" s="143"/>
      <c r="AP220" s="143"/>
      <c r="AQ220" s="143"/>
      <c r="AR220" s="143"/>
      <c r="AS220" s="143"/>
      <c r="AT220" s="143"/>
      <c r="AU220" s="143"/>
      <c r="AV220" s="143"/>
      <c r="AW220" s="143"/>
      <c r="AX220" s="143"/>
      <c r="AY220" s="143"/>
      <c r="AZ220" s="143"/>
      <c r="BA220" s="143"/>
      <c r="BB220" s="143"/>
      <c r="BC220" s="143"/>
      <c r="BD220" s="143"/>
      <c r="BE220" s="143"/>
      <c r="BF220" s="143"/>
      <c r="BG220" s="143"/>
      <c r="BH220" s="143"/>
      <c r="BI220" s="143"/>
      <c r="BJ220" s="143"/>
      <c r="BK220" s="143"/>
      <c r="BL220" s="143"/>
      <c r="BM220" s="143"/>
      <c r="BN220" s="143"/>
    </row>
    <row r="221" spans="1:253">
      <c r="A221" s="148" t="s">
        <v>6</v>
      </c>
      <c r="B221" s="149"/>
      <c r="C221" s="148" t="s">
        <v>398</v>
      </c>
      <c r="D221" s="149"/>
      <c r="E221" s="149"/>
      <c r="F221" s="149"/>
      <c r="G221" s="149"/>
      <c r="H221" s="149"/>
      <c r="I221" s="148" t="s">
        <v>615</v>
      </c>
      <c r="J221" s="149"/>
      <c r="K221" s="149"/>
      <c r="L221" s="149"/>
      <c r="M221" s="149"/>
      <c r="N221" s="149"/>
      <c r="O221" s="149"/>
      <c r="P221" s="149"/>
      <c r="Q221" s="149"/>
      <c r="R221" s="149"/>
      <c r="S221" s="149"/>
      <c r="T221" s="149"/>
      <c r="U221" s="149"/>
      <c r="V221" s="149"/>
      <c r="W221" s="149"/>
      <c r="X221" s="149"/>
      <c r="Y221" s="149"/>
      <c r="Z221" s="149"/>
      <c r="AA221" s="149"/>
      <c r="AB221" s="149"/>
      <c r="AC221" s="149"/>
      <c r="AD221" s="149"/>
      <c r="AE221" s="149"/>
      <c r="AF221" s="149"/>
      <c r="AG221" s="149"/>
      <c r="AH221" s="149"/>
      <c r="AI221" s="149"/>
      <c r="AJ221" s="149"/>
      <c r="AK221" s="149"/>
      <c r="AL221" s="148" t="s">
        <v>6</v>
      </c>
      <c r="AM221" s="149"/>
      <c r="AN221" s="144" t="s">
        <v>6</v>
      </c>
      <c r="AO221" s="145"/>
      <c r="AP221" s="145"/>
      <c r="AQ221" s="145"/>
      <c r="AR221" s="145"/>
      <c r="AS221" s="144" t="s">
        <v>6</v>
      </c>
      <c r="AT221" s="145"/>
      <c r="AU221" s="145"/>
      <c r="AV221" s="145"/>
      <c r="AW221" s="145"/>
      <c r="AX221" s="145"/>
      <c r="AY221" s="145"/>
      <c r="AZ221" s="145"/>
      <c r="BA221" s="152">
        <f>SUM(BA222:BA222)</f>
        <v>49521.374472000003</v>
      </c>
      <c r="BB221" s="145"/>
      <c r="BC221" s="145"/>
      <c r="BD221" s="145"/>
      <c r="BE221" s="145"/>
      <c r="BF221" s="145"/>
      <c r="BG221" s="145"/>
      <c r="BH221" s="145"/>
      <c r="BI221" s="148" t="s">
        <v>6</v>
      </c>
      <c r="BJ221" s="149"/>
      <c r="BK221" s="149"/>
      <c r="BL221" s="149"/>
      <c r="BM221" s="149"/>
      <c r="BN221" s="149"/>
    </row>
    <row r="222" spans="1:253">
      <c r="A222" s="142" t="s">
        <v>178</v>
      </c>
      <c r="B222" s="143"/>
      <c r="C222" s="142" t="s">
        <v>399</v>
      </c>
      <c r="D222" s="143"/>
      <c r="E222" s="143"/>
      <c r="F222" s="143"/>
      <c r="G222" s="143"/>
      <c r="H222" s="143"/>
      <c r="I222" s="142" t="s">
        <v>616</v>
      </c>
      <c r="J222" s="143"/>
      <c r="K222" s="143"/>
      <c r="L222" s="143"/>
      <c r="M222" s="143"/>
      <c r="N222" s="143"/>
      <c r="O222" s="143"/>
      <c r="P222" s="143"/>
      <c r="Q222" s="143"/>
      <c r="R222" s="143"/>
      <c r="S222" s="143"/>
      <c r="T222" s="143"/>
      <c r="U222" s="143"/>
      <c r="V222" s="143"/>
      <c r="W222" s="143"/>
      <c r="X222" s="143"/>
      <c r="Y222" s="143"/>
      <c r="Z222" s="143"/>
      <c r="AA222" s="143"/>
      <c r="AB222" s="143"/>
      <c r="AC222" s="143"/>
      <c r="AD222" s="143"/>
      <c r="AE222" s="143"/>
      <c r="AF222" s="143"/>
      <c r="AG222" s="143"/>
      <c r="AH222" s="143"/>
      <c r="AI222" s="143"/>
      <c r="AJ222" s="143"/>
      <c r="AK222" s="143"/>
      <c r="AL222" s="142" t="s">
        <v>639</v>
      </c>
      <c r="AM222" s="143"/>
      <c r="AN222" s="140">
        <v>829.50376000000006</v>
      </c>
      <c r="AO222" s="141"/>
      <c r="AP222" s="141"/>
      <c r="AQ222" s="141"/>
      <c r="AR222" s="141"/>
      <c r="AS222" s="140">
        <v>59.7</v>
      </c>
      <c r="AT222" s="141"/>
      <c r="AU222" s="141"/>
      <c r="AV222" s="141"/>
      <c r="AW222" s="141"/>
      <c r="AX222" s="141"/>
      <c r="AY222" s="141"/>
      <c r="AZ222" s="141"/>
      <c r="BA222" s="140">
        <f>IR222*AN222+IS222*AN222</f>
        <v>49521.374472000003</v>
      </c>
      <c r="BB222" s="141"/>
      <c r="BC222" s="141"/>
      <c r="BD222" s="141"/>
      <c r="BE222" s="141"/>
      <c r="BF222" s="141"/>
      <c r="BG222" s="141"/>
      <c r="BH222" s="141"/>
      <c r="BI222" s="142" t="s">
        <v>653</v>
      </c>
      <c r="BJ222" s="143"/>
      <c r="BK222" s="143"/>
      <c r="BL222" s="143"/>
      <c r="BM222" s="143"/>
      <c r="BN222" s="143"/>
      <c r="IR222" s="9">
        <f>AS222*0</f>
        <v>0</v>
      </c>
      <c r="IS222" s="9">
        <f>AS222*(1-0)</f>
        <v>59.7</v>
      </c>
    </row>
    <row r="223" spans="1:253">
      <c r="A223" s="148" t="s">
        <v>6</v>
      </c>
      <c r="B223" s="149"/>
      <c r="C223" s="148" t="s">
        <v>400</v>
      </c>
      <c r="D223" s="149"/>
      <c r="E223" s="149"/>
      <c r="F223" s="149"/>
      <c r="G223" s="149"/>
      <c r="H223" s="149"/>
      <c r="I223" s="148" t="s">
        <v>617</v>
      </c>
      <c r="J223" s="149"/>
      <c r="K223" s="149"/>
      <c r="L223" s="149"/>
      <c r="M223" s="149"/>
      <c r="N223" s="149"/>
      <c r="O223" s="149"/>
      <c r="P223" s="149"/>
      <c r="Q223" s="149"/>
      <c r="R223" s="149"/>
      <c r="S223" s="149"/>
      <c r="T223" s="149"/>
      <c r="U223" s="149"/>
      <c r="V223" s="149"/>
      <c r="W223" s="149"/>
      <c r="X223" s="149"/>
      <c r="Y223" s="149"/>
      <c r="Z223" s="149"/>
      <c r="AA223" s="149"/>
      <c r="AB223" s="149"/>
      <c r="AC223" s="149"/>
      <c r="AD223" s="149"/>
      <c r="AE223" s="149"/>
      <c r="AF223" s="149"/>
      <c r="AG223" s="149"/>
      <c r="AH223" s="149"/>
      <c r="AI223" s="149"/>
      <c r="AJ223" s="149"/>
      <c r="AK223" s="149"/>
      <c r="AL223" s="148" t="s">
        <v>6</v>
      </c>
      <c r="AM223" s="149"/>
      <c r="AN223" s="144" t="s">
        <v>6</v>
      </c>
      <c r="AO223" s="145"/>
      <c r="AP223" s="145"/>
      <c r="AQ223" s="145"/>
      <c r="AR223" s="145"/>
      <c r="AS223" s="144" t="s">
        <v>6</v>
      </c>
      <c r="AT223" s="145"/>
      <c r="AU223" s="145"/>
      <c r="AV223" s="145"/>
      <c r="AW223" s="145"/>
      <c r="AX223" s="145"/>
      <c r="AY223" s="145"/>
      <c r="AZ223" s="145"/>
      <c r="BA223" s="152">
        <f>SUM(BA224:BA227)</f>
        <v>831127.92168000014</v>
      </c>
      <c r="BB223" s="145"/>
      <c r="BC223" s="145"/>
      <c r="BD223" s="145"/>
      <c r="BE223" s="145"/>
      <c r="BF223" s="145"/>
      <c r="BG223" s="145"/>
      <c r="BH223" s="145"/>
      <c r="BI223" s="148" t="s">
        <v>6</v>
      </c>
      <c r="BJ223" s="149"/>
      <c r="BK223" s="149"/>
      <c r="BL223" s="149"/>
      <c r="BM223" s="149"/>
      <c r="BN223" s="149"/>
    </row>
    <row r="224" spans="1:253">
      <c r="A224" s="142" t="s">
        <v>179</v>
      </c>
      <c r="B224" s="143"/>
      <c r="C224" s="142" t="s">
        <v>401</v>
      </c>
      <c r="D224" s="143"/>
      <c r="E224" s="143"/>
      <c r="F224" s="143"/>
      <c r="G224" s="143"/>
      <c r="H224" s="143"/>
      <c r="I224" s="142" t="s">
        <v>618</v>
      </c>
      <c r="J224" s="143"/>
      <c r="K224" s="143"/>
      <c r="L224" s="143"/>
      <c r="M224" s="143"/>
      <c r="N224" s="143"/>
      <c r="O224" s="143"/>
      <c r="P224" s="143"/>
      <c r="Q224" s="143"/>
      <c r="R224" s="143"/>
      <c r="S224" s="143"/>
      <c r="T224" s="143"/>
      <c r="U224" s="143"/>
      <c r="V224" s="143"/>
      <c r="W224" s="143"/>
      <c r="X224" s="143"/>
      <c r="Y224" s="143"/>
      <c r="Z224" s="143"/>
      <c r="AA224" s="143"/>
      <c r="AB224" s="143"/>
      <c r="AC224" s="143"/>
      <c r="AD224" s="143"/>
      <c r="AE224" s="143"/>
      <c r="AF224" s="143"/>
      <c r="AG224" s="143"/>
      <c r="AH224" s="143"/>
      <c r="AI224" s="143"/>
      <c r="AJ224" s="143"/>
      <c r="AK224" s="143"/>
      <c r="AL224" s="142" t="s">
        <v>639</v>
      </c>
      <c r="AM224" s="143"/>
      <c r="AN224" s="140">
        <v>903.87149999999997</v>
      </c>
      <c r="AO224" s="141"/>
      <c r="AP224" s="141"/>
      <c r="AQ224" s="141"/>
      <c r="AR224" s="141"/>
      <c r="AS224" s="140">
        <v>135.51</v>
      </c>
      <c r="AT224" s="141"/>
      <c r="AU224" s="141"/>
      <c r="AV224" s="141"/>
      <c r="AW224" s="141"/>
      <c r="AX224" s="141"/>
      <c r="AY224" s="141"/>
      <c r="AZ224" s="141"/>
      <c r="BA224" s="140">
        <f>IR224*AN224+IS224*AN224</f>
        <v>122483.62696499999</v>
      </c>
      <c r="BB224" s="141"/>
      <c r="BC224" s="141"/>
      <c r="BD224" s="141"/>
      <c r="BE224" s="141"/>
      <c r="BF224" s="141"/>
      <c r="BG224" s="141"/>
      <c r="BH224" s="141"/>
      <c r="BI224" s="142" t="s">
        <v>653</v>
      </c>
      <c r="BJ224" s="143"/>
      <c r="BK224" s="143"/>
      <c r="BL224" s="143"/>
      <c r="BM224" s="143"/>
      <c r="BN224" s="143"/>
      <c r="IR224" s="9">
        <f>AS224*0</f>
        <v>0</v>
      </c>
      <c r="IS224" s="9">
        <f>AS224*(1-0)</f>
        <v>135.51</v>
      </c>
    </row>
    <row r="225" spans="1:253">
      <c r="A225" s="142" t="s">
        <v>180</v>
      </c>
      <c r="B225" s="143"/>
      <c r="C225" s="142" t="s">
        <v>402</v>
      </c>
      <c r="D225" s="143"/>
      <c r="E225" s="143"/>
      <c r="F225" s="143"/>
      <c r="G225" s="143"/>
      <c r="H225" s="143"/>
      <c r="I225" s="142" t="s">
        <v>619</v>
      </c>
      <c r="J225" s="143"/>
      <c r="K225" s="143"/>
      <c r="L225" s="143"/>
      <c r="M225" s="143"/>
      <c r="N225" s="143"/>
      <c r="O225" s="143"/>
      <c r="P225" s="143"/>
      <c r="Q225" s="143"/>
      <c r="R225" s="143"/>
      <c r="S225" s="143"/>
      <c r="T225" s="143"/>
      <c r="U225" s="143"/>
      <c r="V225" s="143"/>
      <c r="W225" s="143"/>
      <c r="X225" s="143"/>
      <c r="Y225" s="143"/>
      <c r="Z225" s="143"/>
      <c r="AA225" s="143"/>
      <c r="AB225" s="143"/>
      <c r="AC225" s="143"/>
      <c r="AD225" s="143"/>
      <c r="AE225" s="143"/>
      <c r="AF225" s="143"/>
      <c r="AG225" s="143"/>
      <c r="AH225" s="143"/>
      <c r="AI225" s="143"/>
      <c r="AJ225" s="143"/>
      <c r="AK225" s="143"/>
      <c r="AL225" s="142" t="s">
        <v>639</v>
      </c>
      <c r="AM225" s="143"/>
      <c r="AN225" s="140">
        <v>18077.43</v>
      </c>
      <c r="AO225" s="141"/>
      <c r="AP225" s="141"/>
      <c r="AQ225" s="141"/>
      <c r="AR225" s="141"/>
      <c r="AS225" s="140">
        <v>23.69</v>
      </c>
      <c r="AT225" s="141"/>
      <c r="AU225" s="141"/>
      <c r="AV225" s="141"/>
      <c r="AW225" s="141"/>
      <c r="AX225" s="141"/>
      <c r="AY225" s="141"/>
      <c r="AZ225" s="141"/>
      <c r="BA225" s="140">
        <f>IR225*AN225+IS225*AN225</f>
        <v>428254.31670000002</v>
      </c>
      <c r="BB225" s="141"/>
      <c r="BC225" s="141"/>
      <c r="BD225" s="141"/>
      <c r="BE225" s="141"/>
      <c r="BF225" s="141"/>
      <c r="BG225" s="141"/>
      <c r="BH225" s="141"/>
      <c r="BI225" s="142" t="s">
        <v>653</v>
      </c>
      <c r="BJ225" s="143"/>
      <c r="BK225" s="143"/>
      <c r="BL225" s="143"/>
      <c r="BM225" s="143"/>
      <c r="BN225" s="143"/>
      <c r="IR225" s="9">
        <f>AS225*0</f>
        <v>0</v>
      </c>
      <c r="IS225" s="9">
        <f>AS225*(1-0)</f>
        <v>23.69</v>
      </c>
    </row>
    <row r="226" spans="1:253">
      <c r="A226" s="142" t="s">
        <v>181</v>
      </c>
      <c r="B226" s="143"/>
      <c r="C226" s="142" t="s">
        <v>403</v>
      </c>
      <c r="D226" s="143"/>
      <c r="E226" s="143"/>
      <c r="F226" s="143"/>
      <c r="G226" s="143"/>
      <c r="H226" s="143"/>
      <c r="I226" s="142" t="s">
        <v>620</v>
      </c>
      <c r="J226" s="143"/>
      <c r="K226" s="143"/>
      <c r="L226" s="143"/>
      <c r="M226" s="143"/>
      <c r="N226" s="143"/>
      <c r="O226" s="143"/>
      <c r="P226" s="143"/>
      <c r="Q226" s="143"/>
      <c r="R226" s="143"/>
      <c r="S226" s="143"/>
      <c r="T226" s="143"/>
      <c r="U226" s="143"/>
      <c r="V226" s="143"/>
      <c r="W226" s="143"/>
      <c r="X226" s="143"/>
      <c r="Y226" s="143"/>
      <c r="Z226" s="143"/>
      <c r="AA226" s="143"/>
      <c r="AB226" s="143"/>
      <c r="AC226" s="143"/>
      <c r="AD226" s="143"/>
      <c r="AE226" s="143"/>
      <c r="AF226" s="143"/>
      <c r="AG226" s="143"/>
      <c r="AH226" s="143"/>
      <c r="AI226" s="143"/>
      <c r="AJ226" s="143"/>
      <c r="AK226" s="143"/>
      <c r="AL226" s="142" t="s">
        <v>639</v>
      </c>
      <c r="AM226" s="143"/>
      <c r="AN226" s="140">
        <v>903.87149999999997</v>
      </c>
      <c r="AO226" s="141"/>
      <c r="AP226" s="141"/>
      <c r="AQ226" s="141"/>
      <c r="AR226" s="141"/>
      <c r="AS226" s="140">
        <v>10.210000000000001</v>
      </c>
      <c r="AT226" s="141"/>
      <c r="AU226" s="141"/>
      <c r="AV226" s="141"/>
      <c r="AW226" s="141"/>
      <c r="AX226" s="141"/>
      <c r="AY226" s="141"/>
      <c r="AZ226" s="141"/>
      <c r="BA226" s="140">
        <f>IR226*AN226+IS226*AN226</f>
        <v>9228.5280149999999</v>
      </c>
      <c r="BB226" s="141"/>
      <c r="BC226" s="141"/>
      <c r="BD226" s="141"/>
      <c r="BE226" s="141"/>
      <c r="BF226" s="141"/>
      <c r="BG226" s="141"/>
      <c r="BH226" s="141"/>
      <c r="BI226" s="142" t="s">
        <v>653</v>
      </c>
      <c r="BJ226" s="143"/>
      <c r="BK226" s="143"/>
      <c r="BL226" s="143"/>
      <c r="BM226" s="143"/>
      <c r="BN226" s="143"/>
      <c r="IR226" s="9">
        <f>AS226*0</f>
        <v>0</v>
      </c>
      <c r="IS226" s="9">
        <f>AS226*(1-0)</f>
        <v>10.210000000000001</v>
      </c>
    </row>
    <row r="227" spans="1:253">
      <c r="A227" s="142" t="s">
        <v>182</v>
      </c>
      <c r="B227" s="143"/>
      <c r="C227" s="142" t="s">
        <v>404</v>
      </c>
      <c r="D227" s="143"/>
      <c r="E227" s="143"/>
      <c r="F227" s="143"/>
      <c r="G227" s="143"/>
      <c r="H227" s="143"/>
      <c r="I227" s="142" t="s">
        <v>621</v>
      </c>
      <c r="J227" s="143"/>
      <c r="K227" s="143"/>
      <c r="L227" s="143"/>
      <c r="M227" s="143"/>
      <c r="N227" s="143"/>
      <c r="O227" s="143"/>
      <c r="P227" s="143"/>
      <c r="Q227" s="143"/>
      <c r="R227" s="143"/>
      <c r="S227" s="143"/>
      <c r="T227" s="143"/>
      <c r="U227" s="143"/>
      <c r="V227" s="143"/>
      <c r="W227" s="143"/>
      <c r="X227" s="143"/>
      <c r="Y227" s="143"/>
      <c r="Z227" s="143"/>
      <c r="AA227" s="143"/>
      <c r="AB227" s="143"/>
      <c r="AC227" s="143"/>
      <c r="AD227" s="143"/>
      <c r="AE227" s="143"/>
      <c r="AF227" s="143"/>
      <c r="AG227" s="143"/>
      <c r="AH227" s="143"/>
      <c r="AI227" s="143"/>
      <c r="AJ227" s="143"/>
      <c r="AK227" s="143"/>
      <c r="AL227" s="142" t="s">
        <v>639</v>
      </c>
      <c r="AM227" s="143"/>
      <c r="AN227" s="140">
        <v>903.87149999999997</v>
      </c>
      <c r="AO227" s="141"/>
      <c r="AP227" s="141"/>
      <c r="AQ227" s="141"/>
      <c r="AR227" s="141"/>
      <c r="AS227" s="140">
        <v>300</v>
      </c>
      <c r="AT227" s="141"/>
      <c r="AU227" s="141"/>
      <c r="AV227" s="141"/>
      <c r="AW227" s="141"/>
      <c r="AX227" s="141"/>
      <c r="AY227" s="141"/>
      <c r="AZ227" s="141"/>
      <c r="BA227" s="140">
        <f>IR227*AN227+IS227*AN227</f>
        <v>271161.45</v>
      </c>
      <c r="BB227" s="141"/>
      <c r="BC227" s="141"/>
      <c r="BD227" s="141"/>
      <c r="BE227" s="141"/>
      <c r="BF227" s="141"/>
      <c r="BG227" s="141"/>
      <c r="BH227" s="141"/>
      <c r="BI227" s="142" t="s">
        <v>654</v>
      </c>
      <c r="BJ227" s="143"/>
      <c r="BK227" s="143"/>
      <c r="BL227" s="143"/>
      <c r="BM227" s="143"/>
      <c r="BN227" s="143"/>
      <c r="IR227" s="9">
        <f>AS227*0</f>
        <v>0</v>
      </c>
      <c r="IS227" s="9">
        <f>AS227*(1-0)</f>
        <v>300</v>
      </c>
    </row>
    <row r="228" spans="1:253">
      <c r="A228" s="148" t="s">
        <v>6</v>
      </c>
      <c r="B228" s="149"/>
      <c r="C228" s="148"/>
      <c r="D228" s="149"/>
      <c r="E228" s="149"/>
      <c r="F228" s="149"/>
      <c r="G228" s="149"/>
      <c r="H228" s="149"/>
      <c r="I228" s="148" t="s">
        <v>622</v>
      </c>
      <c r="J228" s="149"/>
      <c r="K228" s="149"/>
      <c r="L228" s="149"/>
      <c r="M228" s="149"/>
      <c r="N228" s="149"/>
      <c r="O228" s="149"/>
      <c r="P228" s="149"/>
      <c r="Q228" s="149"/>
      <c r="R228" s="149"/>
      <c r="S228" s="149"/>
      <c r="T228" s="149"/>
      <c r="U228" s="149"/>
      <c r="V228" s="149"/>
      <c r="W228" s="149"/>
      <c r="X228" s="149"/>
      <c r="Y228" s="149"/>
      <c r="Z228" s="149"/>
      <c r="AA228" s="149"/>
      <c r="AB228" s="149"/>
      <c r="AC228" s="149"/>
      <c r="AD228" s="149"/>
      <c r="AE228" s="149"/>
      <c r="AF228" s="149"/>
      <c r="AG228" s="149"/>
      <c r="AH228" s="149"/>
      <c r="AI228" s="149"/>
      <c r="AJ228" s="149"/>
      <c r="AK228" s="149"/>
      <c r="AL228" s="148" t="s">
        <v>6</v>
      </c>
      <c r="AM228" s="149"/>
      <c r="AN228" s="144" t="s">
        <v>6</v>
      </c>
      <c r="AO228" s="145"/>
      <c r="AP228" s="145"/>
      <c r="AQ228" s="145"/>
      <c r="AR228" s="145"/>
      <c r="AS228" s="144" t="s">
        <v>6</v>
      </c>
      <c r="AT228" s="145"/>
      <c r="AU228" s="145"/>
      <c r="AV228" s="145"/>
      <c r="AW228" s="145"/>
      <c r="AX228" s="145"/>
      <c r="AY228" s="145"/>
      <c r="AZ228" s="145"/>
      <c r="BA228" s="146">
        <f>BA229+BA239+BA243+BA247+BA250+BA253+BA256+BA264+BA269+BA276+BA279+BA281+BA284</f>
        <v>1141421.0479239998</v>
      </c>
      <c r="BB228" s="147"/>
      <c r="BC228" s="147"/>
      <c r="BD228" s="147"/>
      <c r="BE228" s="147"/>
      <c r="BF228" s="147"/>
      <c r="BG228" s="147"/>
      <c r="BH228" s="147"/>
      <c r="BI228" s="148" t="s">
        <v>6</v>
      </c>
      <c r="BJ228" s="149"/>
      <c r="BK228" s="149"/>
      <c r="BL228" s="149"/>
      <c r="BM228" s="149"/>
      <c r="BN228" s="149"/>
    </row>
    <row r="229" spans="1:253">
      <c r="A229" s="148" t="s">
        <v>6</v>
      </c>
      <c r="B229" s="149"/>
      <c r="C229" s="148" t="s">
        <v>224</v>
      </c>
      <c r="D229" s="149"/>
      <c r="E229" s="149"/>
      <c r="F229" s="149"/>
      <c r="G229" s="149"/>
      <c r="H229" s="149"/>
      <c r="I229" s="148" t="s">
        <v>411</v>
      </c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  <c r="Z229" s="149"/>
      <c r="AA229" s="149"/>
      <c r="AB229" s="149"/>
      <c r="AC229" s="149"/>
      <c r="AD229" s="149"/>
      <c r="AE229" s="149"/>
      <c r="AF229" s="149"/>
      <c r="AG229" s="149"/>
      <c r="AH229" s="149"/>
      <c r="AI229" s="149"/>
      <c r="AJ229" s="149"/>
      <c r="AK229" s="149"/>
      <c r="AL229" s="148" t="s">
        <v>6</v>
      </c>
      <c r="AM229" s="149"/>
      <c r="AN229" s="144" t="s">
        <v>6</v>
      </c>
      <c r="AO229" s="145"/>
      <c r="AP229" s="145"/>
      <c r="AQ229" s="145"/>
      <c r="AR229" s="145"/>
      <c r="AS229" s="144" t="s">
        <v>6</v>
      </c>
      <c r="AT229" s="145"/>
      <c r="AU229" s="145"/>
      <c r="AV229" s="145"/>
      <c r="AW229" s="145"/>
      <c r="AX229" s="145"/>
      <c r="AY229" s="145"/>
      <c r="AZ229" s="145"/>
      <c r="BA229" s="152">
        <f>SUM(BA230:BA238)</f>
        <v>75000</v>
      </c>
      <c r="BB229" s="145"/>
      <c r="BC229" s="145"/>
      <c r="BD229" s="145"/>
      <c r="BE229" s="145"/>
      <c r="BF229" s="145"/>
      <c r="BG229" s="145"/>
      <c r="BH229" s="145"/>
      <c r="BI229" s="148" t="s">
        <v>6</v>
      </c>
      <c r="BJ229" s="149"/>
      <c r="BK229" s="149"/>
      <c r="BL229" s="149"/>
      <c r="BM229" s="149"/>
      <c r="BN229" s="149"/>
    </row>
    <row r="230" spans="1:253">
      <c r="A230" s="142" t="s">
        <v>183</v>
      </c>
      <c r="B230" s="143"/>
      <c r="C230" s="142" t="s">
        <v>225</v>
      </c>
      <c r="D230" s="143"/>
      <c r="E230" s="143"/>
      <c r="F230" s="143"/>
      <c r="G230" s="143"/>
      <c r="H230" s="143"/>
      <c r="I230" s="142" t="s">
        <v>412</v>
      </c>
      <c r="J230" s="143"/>
      <c r="K230" s="143"/>
      <c r="L230" s="143"/>
      <c r="M230" s="143"/>
      <c r="N230" s="143"/>
      <c r="O230" s="143"/>
      <c r="P230" s="143"/>
      <c r="Q230" s="143"/>
      <c r="R230" s="143"/>
      <c r="S230" s="143"/>
      <c r="T230" s="143"/>
      <c r="U230" s="143"/>
      <c r="V230" s="143"/>
      <c r="W230" s="143"/>
      <c r="X230" s="143"/>
      <c r="Y230" s="143"/>
      <c r="Z230" s="143"/>
      <c r="AA230" s="143"/>
      <c r="AB230" s="143"/>
      <c r="AC230" s="143"/>
      <c r="AD230" s="143"/>
      <c r="AE230" s="143"/>
      <c r="AF230" s="143"/>
      <c r="AG230" s="143"/>
      <c r="AH230" s="143"/>
      <c r="AI230" s="143"/>
      <c r="AJ230" s="143"/>
      <c r="AK230" s="143"/>
      <c r="AL230" s="142" t="s">
        <v>634</v>
      </c>
      <c r="AM230" s="143"/>
      <c r="AN230" s="140">
        <v>1</v>
      </c>
      <c r="AO230" s="141"/>
      <c r="AP230" s="141"/>
      <c r="AQ230" s="141"/>
      <c r="AR230" s="141"/>
      <c r="AS230" s="140">
        <v>8500</v>
      </c>
      <c r="AT230" s="141"/>
      <c r="AU230" s="141"/>
      <c r="AV230" s="141"/>
      <c r="AW230" s="141"/>
      <c r="AX230" s="141"/>
      <c r="AY230" s="141"/>
      <c r="AZ230" s="141"/>
      <c r="BA230" s="140">
        <f t="shared" ref="BA230:BA238" si="17">IR230*AN230+IS230*AN230</f>
        <v>8500</v>
      </c>
      <c r="BB230" s="141"/>
      <c r="BC230" s="141"/>
      <c r="BD230" s="141"/>
      <c r="BE230" s="141"/>
      <c r="BF230" s="141"/>
      <c r="BG230" s="141"/>
      <c r="BH230" s="141"/>
      <c r="BI230" s="142"/>
      <c r="BJ230" s="143"/>
      <c r="BK230" s="143"/>
      <c r="BL230" s="143"/>
      <c r="BM230" s="143"/>
      <c r="BN230" s="143"/>
      <c r="IR230" s="9">
        <f t="shared" ref="IR230:IR238" si="18">AS230*0</f>
        <v>0</v>
      </c>
      <c r="IS230" s="9">
        <f t="shared" ref="IS230:IS238" si="19">AS230*(1-0)</f>
        <v>8500</v>
      </c>
    </row>
    <row r="231" spans="1:253">
      <c r="A231" s="142" t="s">
        <v>184</v>
      </c>
      <c r="B231" s="143"/>
      <c r="C231" s="142" t="s">
        <v>405</v>
      </c>
      <c r="D231" s="143"/>
      <c r="E231" s="143"/>
      <c r="F231" s="143"/>
      <c r="G231" s="143"/>
      <c r="H231" s="143"/>
      <c r="I231" s="142" t="s">
        <v>413</v>
      </c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  <c r="Z231" s="143"/>
      <c r="AA231" s="143"/>
      <c r="AB231" s="143"/>
      <c r="AC231" s="143"/>
      <c r="AD231" s="143"/>
      <c r="AE231" s="143"/>
      <c r="AF231" s="143"/>
      <c r="AG231" s="143"/>
      <c r="AH231" s="143"/>
      <c r="AI231" s="143"/>
      <c r="AJ231" s="143"/>
      <c r="AK231" s="143"/>
      <c r="AL231" s="142" t="s">
        <v>634</v>
      </c>
      <c r="AM231" s="143"/>
      <c r="AN231" s="140">
        <v>1</v>
      </c>
      <c r="AO231" s="141"/>
      <c r="AP231" s="141"/>
      <c r="AQ231" s="141"/>
      <c r="AR231" s="141"/>
      <c r="AS231" s="140">
        <v>3000</v>
      </c>
      <c r="AT231" s="141"/>
      <c r="AU231" s="141"/>
      <c r="AV231" s="141"/>
      <c r="AW231" s="141"/>
      <c r="AX231" s="141"/>
      <c r="AY231" s="141"/>
      <c r="AZ231" s="141"/>
      <c r="BA231" s="140">
        <f t="shared" si="17"/>
        <v>3000</v>
      </c>
      <c r="BB231" s="141"/>
      <c r="BC231" s="141"/>
      <c r="BD231" s="141"/>
      <c r="BE231" s="141"/>
      <c r="BF231" s="141"/>
      <c r="BG231" s="141"/>
      <c r="BH231" s="141"/>
      <c r="BI231" s="142"/>
      <c r="BJ231" s="143"/>
      <c r="BK231" s="143"/>
      <c r="BL231" s="143"/>
      <c r="BM231" s="143"/>
      <c r="BN231" s="143"/>
      <c r="IR231" s="9">
        <f t="shared" si="18"/>
        <v>0</v>
      </c>
      <c r="IS231" s="9">
        <f t="shared" si="19"/>
        <v>3000</v>
      </c>
    </row>
    <row r="232" spans="1:253">
      <c r="A232" s="142" t="s">
        <v>185</v>
      </c>
      <c r="B232" s="143"/>
      <c r="C232" s="142" t="s">
        <v>226</v>
      </c>
      <c r="D232" s="143"/>
      <c r="E232" s="143"/>
      <c r="F232" s="143"/>
      <c r="G232" s="143"/>
      <c r="H232" s="143"/>
      <c r="I232" s="142" t="s">
        <v>414</v>
      </c>
      <c r="J232" s="143"/>
      <c r="K232" s="143"/>
      <c r="L232" s="143"/>
      <c r="M232" s="143"/>
      <c r="N232" s="143"/>
      <c r="O232" s="143"/>
      <c r="P232" s="143"/>
      <c r="Q232" s="143"/>
      <c r="R232" s="143"/>
      <c r="S232" s="143"/>
      <c r="T232" s="143"/>
      <c r="U232" s="143"/>
      <c r="V232" s="143"/>
      <c r="W232" s="143"/>
      <c r="X232" s="143"/>
      <c r="Y232" s="143"/>
      <c r="Z232" s="143"/>
      <c r="AA232" s="143"/>
      <c r="AB232" s="143"/>
      <c r="AC232" s="143"/>
      <c r="AD232" s="143"/>
      <c r="AE232" s="143"/>
      <c r="AF232" s="143"/>
      <c r="AG232" s="143"/>
      <c r="AH232" s="143"/>
      <c r="AI232" s="143"/>
      <c r="AJ232" s="143"/>
      <c r="AK232" s="143"/>
      <c r="AL232" s="142" t="s">
        <v>634</v>
      </c>
      <c r="AM232" s="143"/>
      <c r="AN232" s="140">
        <v>1</v>
      </c>
      <c r="AO232" s="141"/>
      <c r="AP232" s="141"/>
      <c r="AQ232" s="141"/>
      <c r="AR232" s="141"/>
      <c r="AS232" s="140">
        <v>5000</v>
      </c>
      <c r="AT232" s="141"/>
      <c r="AU232" s="141"/>
      <c r="AV232" s="141"/>
      <c r="AW232" s="141"/>
      <c r="AX232" s="141"/>
      <c r="AY232" s="141"/>
      <c r="AZ232" s="141"/>
      <c r="BA232" s="140">
        <f t="shared" si="17"/>
        <v>5000</v>
      </c>
      <c r="BB232" s="141"/>
      <c r="BC232" s="141"/>
      <c r="BD232" s="141"/>
      <c r="BE232" s="141"/>
      <c r="BF232" s="141"/>
      <c r="BG232" s="141"/>
      <c r="BH232" s="141"/>
      <c r="BI232" s="142"/>
      <c r="BJ232" s="143"/>
      <c r="BK232" s="143"/>
      <c r="BL232" s="143"/>
      <c r="BM232" s="143"/>
      <c r="BN232" s="143"/>
      <c r="IR232" s="9">
        <f t="shared" si="18"/>
        <v>0</v>
      </c>
      <c r="IS232" s="9">
        <f t="shared" si="19"/>
        <v>5000</v>
      </c>
    </row>
    <row r="233" spans="1:253">
      <c r="A233" s="142" t="s">
        <v>186</v>
      </c>
      <c r="B233" s="143"/>
      <c r="C233" s="142" t="s">
        <v>227</v>
      </c>
      <c r="D233" s="143"/>
      <c r="E233" s="143"/>
      <c r="F233" s="143"/>
      <c r="G233" s="143"/>
      <c r="H233" s="143"/>
      <c r="I233" s="142" t="s">
        <v>415</v>
      </c>
      <c r="J233" s="143"/>
      <c r="K233" s="143"/>
      <c r="L233" s="143"/>
      <c r="M233" s="143"/>
      <c r="N233" s="143"/>
      <c r="O233" s="143"/>
      <c r="P233" s="143"/>
      <c r="Q233" s="143"/>
      <c r="R233" s="143"/>
      <c r="S233" s="143"/>
      <c r="T233" s="143"/>
      <c r="U233" s="143"/>
      <c r="V233" s="143"/>
      <c r="W233" s="143"/>
      <c r="X233" s="143"/>
      <c r="Y233" s="143"/>
      <c r="Z233" s="143"/>
      <c r="AA233" s="143"/>
      <c r="AB233" s="143"/>
      <c r="AC233" s="143"/>
      <c r="AD233" s="143"/>
      <c r="AE233" s="143"/>
      <c r="AF233" s="143"/>
      <c r="AG233" s="143"/>
      <c r="AH233" s="143"/>
      <c r="AI233" s="143"/>
      <c r="AJ233" s="143"/>
      <c r="AK233" s="143"/>
      <c r="AL233" s="142" t="s">
        <v>634</v>
      </c>
      <c r="AM233" s="143"/>
      <c r="AN233" s="140">
        <v>1</v>
      </c>
      <c r="AO233" s="141"/>
      <c r="AP233" s="141"/>
      <c r="AQ233" s="141"/>
      <c r="AR233" s="141"/>
      <c r="AS233" s="140">
        <v>13000</v>
      </c>
      <c r="AT233" s="141"/>
      <c r="AU233" s="141"/>
      <c r="AV233" s="141"/>
      <c r="AW233" s="141"/>
      <c r="AX233" s="141"/>
      <c r="AY233" s="141"/>
      <c r="AZ233" s="141"/>
      <c r="BA233" s="140">
        <f t="shared" si="17"/>
        <v>13000</v>
      </c>
      <c r="BB233" s="141"/>
      <c r="BC233" s="141"/>
      <c r="BD233" s="141"/>
      <c r="BE233" s="141"/>
      <c r="BF233" s="141"/>
      <c r="BG233" s="141"/>
      <c r="BH233" s="141"/>
      <c r="BI233" s="142"/>
      <c r="BJ233" s="143"/>
      <c r="BK233" s="143"/>
      <c r="BL233" s="143"/>
      <c r="BM233" s="143"/>
      <c r="BN233" s="143"/>
      <c r="IR233" s="9">
        <f t="shared" si="18"/>
        <v>0</v>
      </c>
      <c r="IS233" s="9">
        <f t="shared" si="19"/>
        <v>13000</v>
      </c>
    </row>
    <row r="234" spans="1:253">
      <c r="A234" s="142" t="s">
        <v>187</v>
      </c>
      <c r="B234" s="143"/>
      <c r="C234" s="142" t="s">
        <v>228</v>
      </c>
      <c r="D234" s="143"/>
      <c r="E234" s="143"/>
      <c r="F234" s="143"/>
      <c r="G234" s="143"/>
      <c r="H234" s="143"/>
      <c r="I234" s="142" t="s">
        <v>416</v>
      </c>
      <c r="J234" s="143"/>
      <c r="K234" s="143"/>
      <c r="L234" s="143"/>
      <c r="M234" s="143"/>
      <c r="N234" s="143"/>
      <c r="O234" s="143"/>
      <c r="P234" s="143"/>
      <c r="Q234" s="143"/>
      <c r="R234" s="143"/>
      <c r="S234" s="143"/>
      <c r="T234" s="143"/>
      <c r="U234" s="143"/>
      <c r="V234" s="143"/>
      <c r="W234" s="143"/>
      <c r="X234" s="143"/>
      <c r="Y234" s="143"/>
      <c r="Z234" s="143"/>
      <c r="AA234" s="143"/>
      <c r="AB234" s="143"/>
      <c r="AC234" s="143"/>
      <c r="AD234" s="143"/>
      <c r="AE234" s="143"/>
      <c r="AF234" s="143"/>
      <c r="AG234" s="143"/>
      <c r="AH234" s="143"/>
      <c r="AI234" s="143"/>
      <c r="AJ234" s="143"/>
      <c r="AK234" s="143"/>
      <c r="AL234" s="142" t="s">
        <v>634</v>
      </c>
      <c r="AM234" s="143"/>
      <c r="AN234" s="140">
        <v>1</v>
      </c>
      <c r="AO234" s="141"/>
      <c r="AP234" s="141"/>
      <c r="AQ234" s="141"/>
      <c r="AR234" s="141"/>
      <c r="AS234" s="140">
        <v>15000</v>
      </c>
      <c r="AT234" s="141"/>
      <c r="AU234" s="141"/>
      <c r="AV234" s="141"/>
      <c r="AW234" s="141"/>
      <c r="AX234" s="141"/>
      <c r="AY234" s="141"/>
      <c r="AZ234" s="141"/>
      <c r="BA234" s="140">
        <f t="shared" si="17"/>
        <v>15000</v>
      </c>
      <c r="BB234" s="141"/>
      <c r="BC234" s="141"/>
      <c r="BD234" s="141"/>
      <c r="BE234" s="141"/>
      <c r="BF234" s="141"/>
      <c r="BG234" s="141"/>
      <c r="BH234" s="141"/>
      <c r="BI234" s="142"/>
      <c r="BJ234" s="143"/>
      <c r="BK234" s="143"/>
      <c r="BL234" s="143"/>
      <c r="BM234" s="143"/>
      <c r="BN234" s="143"/>
      <c r="IR234" s="9">
        <f t="shared" si="18"/>
        <v>0</v>
      </c>
      <c r="IS234" s="9">
        <f t="shared" si="19"/>
        <v>15000</v>
      </c>
    </row>
    <row r="235" spans="1:253">
      <c r="A235" s="142" t="s">
        <v>188</v>
      </c>
      <c r="B235" s="143"/>
      <c r="C235" s="142" t="s">
        <v>229</v>
      </c>
      <c r="D235" s="143"/>
      <c r="E235" s="143"/>
      <c r="F235" s="143"/>
      <c r="G235" s="143"/>
      <c r="H235" s="143"/>
      <c r="I235" s="142" t="s">
        <v>417</v>
      </c>
      <c r="J235" s="143"/>
      <c r="K235" s="143"/>
      <c r="L235" s="143"/>
      <c r="M235" s="143"/>
      <c r="N235" s="143"/>
      <c r="O235" s="143"/>
      <c r="P235" s="143"/>
      <c r="Q235" s="143"/>
      <c r="R235" s="143"/>
      <c r="S235" s="143"/>
      <c r="T235" s="143"/>
      <c r="U235" s="143"/>
      <c r="V235" s="143"/>
      <c r="W235" s="143"/>
      <c r="X235" s="143"/>
      <c r="Y235" s="143"/>
      <c r="Z235" s="143"/>
      <c r="AA235" s="143"/>
      <c r="AB235" s="143"/>
      <c r="AC235" s="143"/>
      <c r="AD235" s="143"/>
      <c r="AE235" s="143"/>
      <c r="AF235" s="143"/>
      <c r="AG235" s="143"/>
      <c r="AH235" s="143"/>
      <c r="AI235" s="143"/>
      <c r="AJ235" s="143"/>
      <c r="AK235" s="143"/>
      <c r="AL235" s="142" t="s">
        <v>634</v>
      </c>
      <c r="AM235" s="143"/>
      <c r="AN235" s="140">
        <v>1</v>
      </c>
      <c r="AO235" s="141"/>
      <c r="AP235" s="141"/>
      <c r="AQ235" s="141"/>
      <c r="AR235" s="141"/>
      <c r="AS235" s="140">
        <v>10000</v>
      </c>
      <c r="AT235" s="141"/>
      <c r="AU235" s="141"/>
      <c r="AV235" s="141"/>
      <c r="AW235" s="141"/>
      <c r="AX235" s="141"/>
      <c r="AY235" s="141"/>
      <c r="AZ235" s="141"/>
      <c r="BA235" s="140">
        <f t="shared" si="17"/>
        <v>10000</v>
      </c>
      <c r="BB235" s="141"/>
      <c r="BC235" s="141"/>
      <c r="BD235" s="141"/>
      <c r="BE235" s="141"/>
      <c r="BF235" s="141"/>
      <c r="BG235" s="141"/>
      <c r="BH235" s="141"/>
      <c r="BI235" s="142"/>
      <c r="BJ235" s="143"/>
      <c r="BK235" s="143"/>
      <c r="BL235" s="143"/>
      <c r="BM235" s="143"/>
      <c r="BN235" s="143"/>
      <c r="IR235" s="9">
        <f t="shared" si="18"/>
        <v>0</v>
      </c>
      <c r="IS235" s="9">
        <f t="shared" si="19"/>
        <v>10000</v>
      </c>
    </row>
    <row r="236" spans="1:253">
      <c r="A236" s="142" t="s">
        <v>189</v>
      </c>
      <c r="B236" s="143"/>
      <c r="C236" s="142" t="s">
        <v>231</v>
      </c>
      <c r="D236" s="143"/>
      <c r="E236" s="143"/>
      <c r="F236" s="143"/>
      <c r="G236" s="143"/>
      <c r="H236" s="143"/>
      <c r="I236" s="142" t="s">
        <v>419</v>
      </c>
      <c r="J236" s="143"/>
      <c r="K236" s="143"/>
      <c r="L236" s="143"/>
      <c r="M236" s="143"/>
      <c r="N236" s="143"/>
      <c r="O236" s="143"/>
      <c r="P236" s="143"/>
      <c r="Q236" s="143"/>
      <c r="R236" s="143"/>
      <c r="S236" s="143"/>
      <c r="T236" s="143"/>
      <c r="U236" s="143"/>
      <c r="V236" s="143"/>
      <c r="W236" s="143"/>
      <c r="X236" s="143"/>
      <c r="Y236" s="143"/>
      <c r="Z236" s="143"/>
      <c r="AA236" s="143"/>
      <c r="AB236" s="143"/>
      <c r="AC236" s="143"/>
      <c r="AD236" s="143"/>
      <c r="AE236" s="143"/>
      <c r="AF236" s="143"/>
      <c r="AG236" s="143"/>
      <c r="AH236" s="143"/>
      <c r="AI236" s="143"/>
      <c r="AJ236" s="143"/>
      <c r="AK236" s="143"/>
      <c r="AL236" s="142" t="s">
        <v>634</v>
      </c>
      <c r="AM236" s="143"/>
      <c r="AN236" s="140">
        <v>1</v>
      </c>
      <c r="AO236" s="141"/>
      <c r="AP236" s="141"/>
      <c r="AQ236" s="141"/>
      <c r="AR236" s="141"/>
      <c r="AS236" s="140">
        <v>1500</v>
      </c>
      <c r="AT236" s="141"/>
      <c r="AU236" s="141"/>
      <c r="AV236" s="141"/>
      <c r="AW236" s="141"/>
      <c r="AX236" s="141"/>
      <c r="AY236" s="141"/>
      <c r="AZ236" s="141"/>
      <c r="BA236" s="140">
        <f t="shared" si="17"/>
        <v>1500</v>
      </c>
      <c r="BB236" s="141"/>
      <c r="BC236" s="141"/>
      <c r="BD236" s="141"/>
      <c r="BE236" s="141"/>
      <c r="BF236" s="141"/>
      <c r="BG236" s="141"/>
      <c r="BH236" s="141"/>
      <c r="BI236" s="142"/>
      <c r="BJ236" s="143"/>
      <c r="BK236" s="143"/>
      <c r="BL236" s="143"/>
      <c r="BM236" s="143"/>
      <c r="BN236" s="143"/>
      <c r="IR236" s="9">
        <f t="shared" si="18"/>
        <v>0</v>
      </c>
      <c r="IS236" s="9">
        <f t="shared" si="19"/>
        <v>1500</v>
      </c>
    </row>
    <row r="237" spans="1:253">
      <c r="A237" s="142" t="s">
        <v>190</v>
      </c>
      <c r="B237" s="143"/>
      <c r="C237" s="142" t="s">
        <v>232</v>
      </c>
      <c r="D237" s="143"/>
      <c r="E237" s="143"/>
      <c r="F237" s="143"/>
      <c r="G237" s="143"/>
      <c r="H237" s="143"/>
      <c r="I237" s="142" t="s">
        <v>420</v>
      </c>
      <c r="J237" s="143"/>
      <c r="K237" s="143"/>
      <c r="L237" s="143"/>
      <c r="M237" s="143"/>
      <c r="N237" s="143"/>
      <c r="O237" s="143"/>
      <c r="P237" s="143"/>
      <c r="Q237" s="143"/>
      <c r="R237" s="143"/>
      <c r="S237" s="143"/>
      <c r="T237" s="143"/>
      <c r="U237" s="143"/>
      <c r="V237" s="143"/>
      <c r="W237" s="143"/>
      <c r="X237" s="143"/>
      <c r="Y237" s="143"/>
      <c r="Z237" s="143"/>
      <c r="AA237" s="143"/>
      <c r="AB237" s="143"/>
      <c r="AC237" s="143"/>
      <c r="AD237" s="143"/>
      <c r="AE237" s="143"/>
      <c r="AF237" s="143"/>
      <c r="AG237" s="143"/>
      <c r="AH237" s="143"/>
      <c r="AI237" s="143"/>
      <c r="AJ237" s="143"/>
      <c r="AK237" s="143"/>
      <c r="AL237" s="142" t="s">
        <v>634</v>
      </c>
      <c r="AM237" s="143"/>
      <c r="AN237" s="140">
        <v>1</v>
      </c>
      <c r="AO237" s="141"/>
      <c r="AP237" s="141"/>
      <c r="AQ237" s="141"/>
      <c r="AR237" s="141"/>
      <c r="AS237" s="140">
        <v>13000</v>
      </c>
      <c r="AT237" s="141"/>
      <c r="AU237" s="141"/>
      <c r="AV237" s="141"/>
      <c r="AW237" s="141"/>
      <c r="AX237" s="141"/>
      <c r="AY237" s="141"/>
      <c r="AZ237" s="141"/>
      <c r="BA237" s="140">
        <f t="shared" si="17"/>
        <v>13000</v>
      </c>
      <c r="BB237" s="141"/>
      <c r="BC237" s="141"/>
      <c r="BD237" s="141"/>
      <c r="BE237" s="141"/>
      <c r="BF237" s="141"/>
      <c r="BG237" s="141"/>
      <c r="BH237" s="141"/>
      <c r="BI237" s="142"/>
      <c r="BJ237" s="143"/>
      <c r="BK237" s="143"/>
      <c r="BL237" s="143"/>
      <c r="BM237" s="143"/>
      <c r="BN237" s="143"/>
      <c r="IR237" s="9">
        <f t="shared" si="18"/>
        <v>0</v>
      </c>
      <c r="IS237" s="9">
        <f t="shared" si="19"/>
        <v>13000</v>
      </c>
    </row>
    <row r="238" spans="1:253">
      <c r="A238" s="142" t="s">
        <v>191</v>
      </c>
      <c r="B238" s="143"/>
      <c r="C238" s="142" t="s">
        <v>233</v>
      </c>
      <c r="D238" s="143"/>
      <c r="E238" s="143"/>
      <c r="F238" s="143"/>
      <c r="G238" s="143"/>
      <c r="H238" s="143"/>
      <c r="I238" s="142" t="s">
        <v>623</v>
      </c>
      <c r="J238" s="143"/>
      <c r="K238" s="143"/>
      <c r="L238" s="143"/>
      <c r="M238" s="143"/>
      <c r="N238" s="143"/>
      <c r="O238" s="143"/>
      <c r="P238" s="143"/>
      <c r="Q238" s="143"/>
      <c r="R238" s="143"/>
      <c r="S238" s="143"/>
      <c r="T238" s="143"/>
      <c r="U238" s="143"/>
      <c r="V238" s="143"/>
      <c r="W238" s="143"/>
      <c r="X238" s="143"/>
      <c r="Y238" s="143"/>
      <c r="Z238" s="143"/>
      <c r="AA238" s="143"/>
      <c r="AB238" s="143"/>
      <c r="AC238" s="143"/>
      <c r="AD238" s="143"/>
      <c r="AE238" s="143"/>
      <c r="AF238" s="143"/>
      <c r="AG238" s="143"/>
      <c r="AH238" s="143"/>
      <c r="AI238" s="143"/>
      <c r="AJ238" s="143"/>
      <c r="AK238" s="143"/>
      <c r="AL238" s="142" t="s">
        <v>634</v>
      </c>
      <c r="AM238" s="143"/>
      <c r="AN238" s="140">
        <v>1</v>
      </c>
      <c r="AO238" s="141"/>
      <c r="AP238" s="141"/>
      <c r="AQ238" s="141"/>
      <c r="AR238" s="141"/>
      <c r="AS238" s="140">
        <v>6000</v>
      </c>
      <c r="AT238" s="141"/>
      <c r="AU238" s="141"/>
      <c r="AV238" s="141"/>
      <c r="AW238" s="141"/>
      <c r="AX238" s="141"/>
      <c r="AY238" s="141"/>
      <c r="AZ238" s="141"/>
      <c r="BA238" s="140">
        <f t="shared" si="17"/>
        <v>6000</v>
      </c>
      <c r="BB238" s="141"/>
      <c r="BC238" s="141"/>
      <c r="BD238" s="141"/>
      <c r="BE238" s="141"/>
      <c r="BF238" s="141"/>
      <c r="BG238" s="141"/>
      <c r="BH238" s="141"/>
      <c r="BI238" s="142"/>
      <c r="BJ238" s="143"/>
      <c r="BK238" s="143"/>
      <c r="BL238" s="143"/>
      <c r="BM238" s="143"/>
      <c r="BN238" s="143"/>
      <c r="IR238" s="9">
        <f t="shared" si="18"/>
        <v>0</v>
      </c>
      <c r="IS238" s="9">
        <f t="shared" si="19"/>
        <v>6000</v>
      </c>
    </row>
    <row r="239" spans="1:253">
      <c r="A239" s="148" t="s">
        <v>6</v>
      </c>
      <c r="B239" s="149"/>
      <c r="C239" s="148" t="s">
        <v>17</v>
      </c>
      <c r="D239" s="149"/>
      <c r="E239" s="149"/>
      <c r="F239" s="149"/>
      <c r="G239" s="149"/>
      <c r="H239" s="149"/>
      <c r="I239" s="148" t="s">
        <v>422</v>
      </c>
      <c r="J239" s="149"/>
      <c r="K239" s="149"/>
      <c r="L239" s="149"/>
      <c r="M239" s="149"/>
      <c r="N239" s="149"/>
      <c r="O239" s="149"/>
      <c r="P239" s="149"/>
      <c r="Q239" s="149"/>
      <c r="R239" s="149"/>
      <c r="S239" s="149"/>
      <c r="T239" s="149"/>
      <c r="U239" s="149"/>
      <c r="V239" s="149"/>
      <c r="W239" s="149"/>
      <c r="X239" s="149"/>
      <c r="Y239" s="149"/>
      <c r="Z239" s="149"/>
      <c r="AA239" s="149"/>
      <c r="AB239" s="149"/>
      <c r="AC239" s="149"/>
      <c r="AD239" s="149"/>
      <c r="AE239" s="149"/>
      <c r="AF239" s="149"/>
      <c r="AG239" s="149"/>
      <c r="AH239" s="149"/>
      <c r="AI239" s="149"/>
      <c r="AJ239" s="149"/>
      <c r="AK239" s="149"/>
      <c r="AL239" s="148" t="s">
        <v>6</v>
      </c>
      <c r="AM239" s="149"/>
      <c r="AN239" s="144" t="s">
        <v>6</v>
      </c>
      <c r="AO239" s="145"/>
      <c r="AP239" s="145"/>
      <c r="AQ239" s="145"/>
      <c r="AR239" s="145"/>
      <c r="AS239" s="144" t="s">
        <v>6</v>
      </c>
      <c r="AT239" s="145"/>
      <c r="AU239" s="145"/>
      <c r="AV239" s="145"/>
      <c r="AW239" s="145"/>
      <c r="AX239" s="145"/>
      <c r="AY239" s="145"/>
      <c r="AZ239" s="145"/>
      <c r="BA239" s="152">
        <f>SUM(BA240:BA242)</f>
        <v>85155.044999999998</v>
      </c>
      <c r="BB239" s="145"/>
      <c r="BC239" s="145"/>
      <c r="BD239" s="145"/>
      <c r="BE239" s="145"/>
      <c r="BF239" s="145"/>
      <c r="BG239" s="145"/>
      <c r="BH239" s="145"/>
      <c r="BI239" s="148" t="s">
        <v>6</v>
      </c>
      <c r="BJ239" s="149"/>
      <c r="BK239" s="149"/>
      <c r="BL239" s="149"/>
      <c r="BM239" s="149"/>
      <c r="BN239" s="149"/>
    </row>
    <row r="240" spans="1:253">
      <c r="A240" s="142" t="s">
        <v>192</v>
      </c>
      <c r="B240" s="143"/>
      <c r="C240" s="142" t="s">
        <v>234</v>
      </c>
      <c r="D240" s="143"/>
      <c r="E240" s="143"/>
      <c r="F240" s="143"/>
      <c r="G240" s="143"/>
      <c r="H240" s="143"/>
      <c r="I240" s="142" t="s">
        <v>423</v>
      </c>
      <c r="J240" s="143"/>
      <c r="K240" s="143"/>
      <c r="L240" s="143"/>
      <c r="M240" s="143"/>
      <c r="N240" s="143"/>
      <c r="O240" s="143"/>
      <c r="P240" s="143"/>
      <c r="Q240" s="143"/>
      <c r="R240" s="143"/>
      <c r="S240" s="143"/>
      <c r="T240" s="143"/>
      <c r="U240" s="143"/>
      <c r="V240" s="143"/>
      <c r="W240" s="143"/>
      <c r="X240" s="143"/>
      <c r="Y240" s="143"/>
      <c r="Z240" s="143"/>
      <c r="AA240" s="143"/>
      <c r="AB240" s="143"/>
      <c r="AC240" s="143"/>
      <c r="AD240" s="143"/>
      <c r="AE240" s="143"/>
      <c r="AF240" s="143"/>
      <c r="AG240" s="143"/>
      <c r="AH240" s="143"/>
      <c r="AI240" s="143"/>
      <c r="AJ240" s="143"/>
      <c r="AK240" s="143"/>
      <c r="AL240" s="142" t="s">
        <v>635</v>
      </c>
      <c r="AM240" s="143"/>
      <c r="AN240" s="140">
        <v>78</v>
      </c>
      <c r="AO240" s="141"/>
      <c r="AP240" s="141"/>
      <c r="AQ240" s="141"/>
      <c r="AR240" s="141"/>
      <c r="AS240" s="140">
        <v>91</v>
      </c>
      <c r="AT240" s="141"/>
      <c r="AU240" s="141"/>
      <c r="AV240" s="141"/>
      <c r="AW240" s="141"/>
      <c r="AX240" s="141"/>
      <c r="AY240" s="141"/>
      <c r="AZ240" s="141"/>
      <c r="BA240" s="140">
        <f>IR240*AN240+IS240*AN240</f>
        <v>7098</v>
      </c>
      <c r="BB240" s="141"/>
      <c r="BC240" s="141"/>
      <c r="BD240" s="141"/>
      <c r="BE240" s="141"/>
      <c r="BF240" s="141"/>
      <c r="BG240" s="141"/>
      <c r="BH240" s="141"/>
      <c r="BI240" s="142" t="s">
        <v>653</v>
      </c>
      <c r="BJ240" s="143"/>
      <c r="BK240" s="143"/>
      <c r="BL240" s="143"/>
      <c r="BM240" s="143"/>
      <c r="BN240" s="143"/>
      <c r="IR240" s="9">
        <f>AS240*0</f>
        <v>0</v>
      </c>
      <c r="IS240" s="9">
        <f>AS240*(1-0)</f>
        <v>91</v>
      </c>
    </row>
    <row r="241" spans="1:253">
      <c r="A241" s="142" t="s">
        <v>193</v>
      </c>
      <c r="B241" s="143"/>
      <c r="C241" s="142" t="s">
        <v>235</v>
      </c>
      <c r="D241" s="143"/>
      <c r="E241" s="143"/>
      <c r="F241" s="143"/>
      <c r="G241" s="143"/>
      <c r="H241" s="143"/>
      <c r="I241" s="142" t="s">
        <v>424</v>
      </c>
      <c r="J241" s="143"/>
      <c r="K241" s="143"/>
      <c r="L241" s="143"/>
      <c r="M241" s="143"/>
      <c r="N241" s="143"/>
      <c r="O241" s="143"/>
      <c r="P241" s="143"/>
      <c r="Q241" s="143"/>
      <c r="R241" s="143"/>
      <c r="S241" s="143"/>
      <c r="T241" s="143"/>
      <c r="U241" s="143"/>
      <c r="V241" s="143"/>
      <c r="W241" s="143"/>
      <c r="X241" s="143"/>
      <c r="Y241" s="143"/>
      <c r="Z241" s="143"/>
      <c r="AA241" s="143"/>
      <c r="AB241" s="143"/>
      <c r="AC241" s="143"/>
      <c r="AD241" s="143"/>
      <c r="AE241" s="143"/>
      <c r="AF241" s="143"/>
      <c r="AG241" s="143"/>
      <c r="AH241" s="143"/>
      <c r="AI241" s="143"/>
      <c r="AJ241" s="143"/>
      <c r="AK241" s="143"/>
      <c r="AL241" s="142" t="s">
        <v>636</v>
      </c>
      <c r="AM241" s="143"/>
      <c r="AN241" s="140">
        <v>390.5</v>
      </c>
      <c r="AO241" s="141"/>
      <c r="AP241" s="141"/>
      <c r="AQ241" s="141"/>
      <c r="AR241" s="141"/>
      <c r="AS241" s="140">
        <v>125.99</v>
      </c>
      <c r="AT241" s="141"/>
      <c r="AU241" s="141"/>
      <c r="AV241" s="141"/>
      <c r="AW241" s="141"/>
      <c r="AX241" s="141"/>
      <c r="AY241" s="141"/>
      <c r="AZ241" s="141"/>
      <c r="BA241" s="140">
        <f>IR241*AN241+IS241*AN241</f>
        <v>49199.095000000001</v>
      </c>
      <c r="BB241" s="141"/>
      <c r="BC241" s="141"/>
      <c r="BD241" s="141"/>
      <c r="BE241" s="141"/>
      <c r="BF241" s="141"/>
      <c r="BG241" s="141"/>
      <c r="BH241" s="141"/>
      <c r="BI241" s="142" t="s">
        <v>653</v>
      </c>
      <c r="BJ241" s="143"/>
      <c r="BK241" s="143"/>
      <c r="BL241" s="143"/>
      <c r="BM241" s="143"/>
      <c r="BN241" s="143"/>
      <c r="IR241" s="9">
        <f>AS241*0</f>
        <v>0</v>
      </c>
      <c r="IS241" s="9">
        <f>AS241*(1-0)</f>
        <v>125.99</v>
      </c>
    </row>
    <row r="242" spans="1:253">
      <c r="A242" s="142" t="s">
        <v>194</v>
      </c>
      <c r="B242" s="143"/>
      <c r="C242" s="142" t="s">
        <v>236</v>
      </c>
      <c r="D242" s="143"/>
      <c r="E242" s="143"/>
      <c r="F242" s="143"/>
      <c r="G242" s="143"/>
      <c r="H242" s="143"/>
      <c r="I242" s="142" t="s">
        <v>425</v>
      </c>
      <c r="J242" s="143"/>
      <c r="K242" s="143"/>
      <c r="L242" s="143"/>
      <c r="M242" s="143"/>
      <c r="N242" s="143"/>
      <c r="O242" s="143"/>
      <c r="P242" s="143"/>
      <c r="Q242" s="143"/>
      <c r="R242" s="143"/>
      <c r="S242" s="143"/>
      <c r="T242" s="143"/>
      <c r="U242" s="143"/>
      <c r="V242" s="143"/>
      <c r="W242" s="143"/>
      <c r="X242" s="143"/>
      <c r="Y242" s="143"/>
      <c r="Z242" s="143"/>
      <c r="AA242" s="143"/>
      <c r="AB242" s="143"/>
      <c r="AC242" s="143"/>
      <c r="AD242" s="143"/>
      <c r="AE242" s="143"/>
      <c r="AF242" s="143"/>
      <c r="AG242" s="143"/>
      <c r="AH242" s="143"/>
      <c r="AI242" s="143"/>
      <c r="AJ242" s="143"/>
      <c r="AK242" s="143"/>
      <c r="AL242" s="142" t="s">
        <v>636</v>
      </c>
      <c r="AM242" s="143"/>
      <c r="AN242" s="140">
        <v>390.5</v>
      </c>
      <c r="AO242" s="141"/>
      <c r="AP242" s="141"/>
      <c r="AQ242" s="141"/>
      <c r="AR242" s="141"/>
      <c r="AS242" s="140">
        <v>73.900000000000006</v>
      </c>
      <c r="AT242" s="141"/>
      <c r="AU242" s="141"/>
      <c r="AV242" s="141"/>
      <c r="AW242" s="141"/>
      <c r="AX242" s="141"/>
      <c r="AY242" s="141"/>
      <c r="AZ242" s="141"/>
      <c r="BA242" s="140">
        <f>IR242*AN242+IS242*AN242</f>
        <v>28857.95</v>
      </c>
      <c r="BB242" s="141"/>
      <c r="BC242" s="141"/>
      <c r="BD242" s="141"/>
      <c r="BE242" s="141"/>
      <c r="BF242" s="141"/>
      <c r="BG242" s="141"/>
      <c r="BH242" s="141"/>
      <c r="BI242" s="142" t="s">
        <v>653</v>
      </c>
      <c r="BJ242" s="143"/>
      <c r="BK242" s="143"/>
      <c r="BL242" s="143"/>
      <c r="BM242" s="143"/>
      <c r="BN242" s="143"/>
      <c r="IR242" s="9">
        <f>AS242*0</f>
        <v>0</v>
      </c>
      <c r="IS242" s="9">
        <f>AS242*(1-0)</f>
        <v>73.900000000000006</v>
      </c>
    </row>
    <row r="243" spans="1:253">
      <c r="A243" s="148" t="s">
        <v>6</v>
      </c>
      <c r="B243" s="149"/>
      <c r="C243" s="148" t="s">
        <v>18</v>
      </c>
      <c r="D243" s="149"/>
      <c r="E243" s="149"/>
      <c r="F243" s="149"/>
      <c r="G243" s="149"/>
      <c r="H243" s="149"/>
      <c r="I243" s="148" t="s">
        <v>429</v>
      </c>
      <c r="J243" s="149"/>
      <c r="K243" s="149"/>
      <c r="L243" s="149"/>
      <c r="M243" s="149"/>
      <c r="N243" s="149"/>
      <c r="O243" s="149"/>
      <c r="P243" s="149"/>
      <c r="Q243" s="149"/>
      <c r="R243" s="149"/>
      <c r="S243" s="149"/>
      <c r="T243" s="149"/>
      <c r="U243" s="149"/>
      <c r="V243" s="149"/>
      <c r="W243" s="149"/>
      <c r="X243" s="149"/>
      <c r="Y243" s="149"/>
      <c r="Z243" s="149"/>
      <c r="AA243" s="149"/>
      <c r="AB243" s="149"/>
      <c r="AC243" s="149"/>
      <c r="AD243" s="149"/>
      <c r="AE243" s="149"/>
      <c r="AF243" s="149"/>
      <c r="AG243" s="149"/>
      <c r="AH243" s="149"/>
      <c r="AI243" s="149"/>
      <c r="AJ243" s="149"/>
      <c r="AK243" s="149"/>
      <c r="AL243" s="148" t="s">
        <v>6</v>
      </c>
      <c r="AM243" s="149"/>
      <c r="AN243" s="144" t="s">
        <v>6</v>
      </c>
      <c r="AO243" s="145"/>
      <c r="AP243" s="145"/>
      <c r="AQ243" s="145"/>
      <c r="AR243" s="145"/>
      <c r="AS243" s="144" t="s">
        <v>6</v>
      </c>
      <c r="AT243" s="145"/>
      <c r="AU243" s="145"/>
      <c r="AV243" s="145"/>
      <c r="AW243" s="145"/>
      <c r="AX243" s="145"/>
      <c r="AY243" s="145"/>
      <c r="AZ243" s="145"/>
      <c r="BA243" s="152">
        <f>SUM(BA244:BA246)</f>
        <v>3325.3474999999999</v>
      </c>
      <c r="BB243" s="145"/>
      <c r="BC243" s="145"/>
      <c r="BD243" s="145"/>
      <c r="BE243" s="145"/>
      <c r="BF243" s="145"/>
      <c r="BG243" s="145"/>
      <c r="BH243" s="145"/>
      <c r="BI243" s="148" t="s">
        <v>6</v>
      </c>
      <c r="BJ243" s="149"/>
      <c r="BK243" s="149"/>
      <c r="BL243" s="149"/>
      <c r="BM243" s="149"/>
      <c r="BN243" s="149"/>
    </row>
    <row r="244" spans="1:253">
      <c r="A244" s="142" t="s">
        <v>195</v>
      </c>
      <c r="B244" s="143"/>
      <c r="C244" s="142" t="s">
        <v>240</v>
      </c>
      <c r="D244" s="143"/>
      <c r="E244" s="143"/>
      <c r="F244" s="143"/>
      <c r="G244" s="143"/>
      <c r="H244" s="143"/>
      <c r="I244" s="142" t="s">
        <v>430</v>
      </c>
      <c r="J244" s="143"/>
      <c r="K244" s="143"/>
      <c r="L244" s="143"/>
      <c r="M244" s="143"/>
      <c r="N244" s="143"/>
      <c r="O244" s="143"/>
      <c r="P244" s="143"/>
      <c r="Q244" s="143"/>
      <c r="R244" s="143"/>
      <c r="S244" s="143"/>
      <c r="T244" s="143"/>
      <c r="U244" s="143"/>
      <c r="V244" s="143"/>
      <c r="W244" s="143"/>
      <c r="X244" s="143"/>
      <c r="Y244" s="143"/>
      <c r="Z244" s="143"/>
      <c r="AA244" s="143"/>
      <c r="AB244" s="143"/>
      <c r="AC244" s="143"/>
      <c r="AD244" s="143"/>
      <c r="AE244" s="143"/>
      <c r="AF244" s="143"/>
      <c r="AG244" s="143"/>
      <c r="AH244" s="143"/>
      <c r="AI244" s="143"/>
      <c r="AJ244" s="143"/>
      <c r="AK244" s="143"/>
      <c r="AL244" s="142" t="s">
        <v>638</v>
      </c>
      <c r="AM244" s="143"/>
      <c r="AN244" s="140">
        <v>3.35</v>
      </c>
      <c r="AO244" s="141"/>
      <c r="AP244" s="141"/>
      <c r="AQ244" s="141"/>
      <c r="AR244" s="141"/>
      <c r="AS244" s="140">
        <v>74.099999999999994</v>
      </c>
      <c r="AT244" s="141"/>
      <c r="AU244" s="141"/>
      <c r="AV244" s="141"/>
      <c r="AW244" s="141"/>
      <c r="AX244" s="141"/>
      <c r="AY244" s="141"/>
      <c r="AZ244" s="141"/>
      <c r="BA244" s="140">
        <f>IR244*AN244+IS244*AN244</f>
        <v>248.23499999999999</v>
      </c>
      <c r="BB244" s="141"/>
      <c r="BC244" s="141"/>
      <c r="BD244" s="141"/>
      <c r="BE244" s="141"/>
      <c r="BF244" s="141"/>
      <c r="BG244" s="141"/>
      <c r="BH244" s="141"/>
      <c r="BI244" s="142" t="s">
        <v>653</v>
      </c>
      <c r="BJ244" s="143"/>
      <c r="BK244" s="143"/>
      <c r="BL244" s="143"/>
      <c r="BM244" s="143"/>
      <c r="BN244" s="143"/>
      <c r="IR244" s="9">
        <f>AS244*0</f>
        <v>0</v>
      </c>
      <c r="IS244" s="9">
        <f>AS244*(1-0)</f>
        <v>74.099999999999994</v>
      </c>
    </row>
    <row r="245" spans="1:253">
      <c r="A245" s="142" t="s">
        <v>196</v>
      </c>
      <c r="B245" s="143"/>
      <c r="C245" s="142" t="s">
        <v>241</v>
      </c>
      <c r="D245" s="143"/>
      <c r="E245" s="143"/>
      <c r="F245" s="143"/>
      <c r="G245" s="143"/>
      <c r="H245" s="143"/>
      <c r="I245" s="142" t="s">
        <v>431</v>
      </c>
      <c r="J245" s="143"/>
      <c r="K245" s="143"/>
      <c r="L245" s="143"/>
      <c r="M245" s="143"/>
      <c r="N245" s="143"/>
      <c r="O245" s="143"/>
      <c r="P245" s="143"/>
      <c r="Q245" s="143"/>
      <c r="R245" s="143"/>
      <c r="S245" s="143"/>
      <c r="T245" s="143"/>
      <c r="U245" s="143"/>
      <c r="V245" s="143"/>
      <c r="W245" s="143"/>
      <c r="X245" s="143"/>
      <c r="Y245" s="143"/>
      <c r="Z245" s="143"/>
      <c r="AA245" s="143"/>
      <c r="AB245" s="143"/>
      <c r="AC245" s="143"/>
      <c r="AD245" s="143"/>
      <c r="AE245" s="143"/>
      <c r="AF245" s="143"/>
      <c r="AG245" s="143"/>
      <c r="AH245" s="143"/>
      <c r="AI245" s="143"/>
      <c r="AJ245" s="143"/>
      <c r="AK245" s="143"/>
      <c r="AL245" s="142" t="s">
        <v>638</v>
      </c>
      <c r="AM245" s="143"/>
      <c r="AN245" s="140">
        <v>13.75</v>
      </c>
      <c r="AO245" s="141"/>
      <c r="AP245" s="141"/>
      <c r="AQ245" s="141"/>
      <c r="AR245" s="141"/>
      <c r="AS245" s="140">
        <v>186.5</v>
      </c>
      <c r="AT245" s="141"/>
      <c r="AU245" s="141"/>
      <c r="AV245" s="141"/>
      <c r="AW245" s="141"/>
      <c r="AX245" s="141"/>
      <c r="AY245" s="141"/>
      <c r="AZ245" s="141"/>
      <c r="BA245" s="140">
        <f>IR245*AN245+IS245*AN245</f>
        <v>2564.375</v>
      </c>
      <c r="BB245" s="141"/>
      <c r="BC245" s="141"/>
      <c r="BD245" s="141"/>
      <c r="BE245" s="141"/>
      <c r="BF245" s="141"/>
      <c r="BG245" s="141"/>
      <c r="BH245" s="141"/>
      <c r="BI245" s="142" t="s">
        <v>653</v>
      </c>
      <c r="BJ245" s="143"/>
      <c r="BK245" s="143"/>
      <c r="BL245" s="143"/>
      <c r="BM245" s="143"/>
      <c r="BN245" s="143"/>
      <c r="IR245" s="9">
        <f>AS245*0</f>
        <v>0</v>
      </c>
      <c r="IS245" s="9">
        <f>AS245*(1-0)</f>
        <v>186.5</v>
      </c>
    </row>
    <row r="246" spans="1:253">
      <c r="A246" s="142" t="s">
        <v>197</v>
      </c>
      <c r="B246" s="143"/>
      <c r="C246" s="142" t="s">
        <v>242</v>
      </c>
      <c r="D246" s="143"/>
      <c r="E246" s="143"/>
      <c r="F246" s="143"/>
      <c r="G246" s="143"/>
      <c r="H246" s="143"/>
      <c r="I246" s="142" t="s">
        <v>432</v>
      </c>
      <c r="J246" s="143"/>
      <c r="K246" s="143"/>
      <c r="L246" s="143"/>
      <c r="M246" s="143"/>
      <c r="N246" s="143"/>
      <c r="O246" s="143"/>
      <c r="P246" s="143"/>
      <c r="Q246" s="143"/>
      <c r="R246" s="143"/>
      <c r="S246" s="143"/>
      <c r="T246" s="143"/>
      <c r="U246" s="143"/>
      <c r="V246" s="143"/>
      <c r="W246" s="143"/>
      <c r="X246" s="143"/>
      <c r="Y246" s="143"/>
      <c r="Z246" s="143"/>
      <c r="AA246" s="143"/>
      <c r="AB246" s="143"/>
      <c r="AC246" s="143"/>
      <c r="AD246" s="143"/>
      <c r="AE246" s="143"/>
      <c r="AF246" s="143"/>
      <c r="AG246" s="143"/>
      <c r="AH246" s="143"/>
      <c r="AI246" s="143"/>
      <c r="AJ246" s="143"/>
      <c r="AK246" s="143"/>
      <c r="AL246" s="142" t="s">
        <v>638</v>
      </c>
      <c r="AM246" s="143"/>
      <c r="AN246" s="140">
        <v>13.75</v>
      </c>
      <c r="AO246" s="141"/>
      <c r="AP246" s="141"/>
      <c r="AQ246" s="141"/>
      <c r="AR246" s="141"/>
      <c r="AS246" s="140">
        <v>37.29</v>
      </c>
      <c r="AT246" s="141"/>
      <c r="AU246" s="141"/>
      <c r="AV246" s="141"/>
      <c r="AW246" s="141"/>
      <c r="AX246" s="141"/>
      <c r="AY246" s="141"/>
      <c r="AZ246" s="141"/>
      <c r="BA246" s="140">
        <f>IR246*AN246+IS246*AN246</f>
        <v>512.73749999999995</v>
      </c>
      <c r="BB246" s="141"/>
      <c r="BC246" s="141"/>
      <c r="BD246" s="141"/>
      <c r="BE246" s="141"/>
      <c r="BF246" s="141"/>
      <c r="BG246" s="141"/>
      <c r="BH246" s="141"/>
      <c r="BI246" s="142" t="s">
        <v>653</v>
      </c>
      <c r="BJ246" s="143"/>
      <c r="BK246" s="143"/>
      <c r="BL246" s="143"/>
      <c r="BM246" s="143"/>
      <c r="BN246" s="143"/>
      <c r="IR246" s="9">
        <f>AS246*0</f>
        <v>0</v>
      </c>
      <c r="IS246" s="9">
        <f>AS246*(1-0)</f>
        <v>37.29</v>
      </c>
    </row>
    <row r="247" spans="1:253">
      <c r="A247" s="148" t="s">
        <v>6</v>
      </c>
      <c r="B247" s="149"/>
      <c r="C247" s="148" t="s">
        <v>19</v>
      </c>
      <c r="D247" s="149"/>
      <c r="E247" s="149"/>
      <c r="F247" s="149"/>
      <c r="G247" s="149"/>
      <c r="H247" s="149"/>
      <c r="I247" s="148" t="s">
        <v>433</v>
      </c>
      <c r="J247" s="149"/>
      <c r="K247" s="149"/>
      <c r="L247" s="149"/>
      <c r="M247" s="149"/>
      <c r="N247" s="149"/>
      <c r="O247" s="149"/>
      <c r="P247" s="149"/>
      <c r="Q247" s="149"/>
      <c r="R247" s="149"/>
      <c r="S247" s="149"/>
      <c r="T247" s="149"/>
      <c r="U247" s="149"/>
      <c r="V247" s="149"/>
      <c r="W247" s="149"/>
      <c r="X247" s="149"/>
      <c r="Y247" s="149"/>
      <c r="Z247" s="149"/>
      <c r="AA247" s="149"/>
      <c r="AB247" s="149"/>
      <c r="AC247" s="149"/>
      <c r="AD247" s="149"/>
      <c r="AE247" s="149"/>
      <c r="AF247" s="149"/>
      <c r="AG247" s="149"/>
      <c r="AH247" s="149"/>
      <c r="AI247" s="149"/>
      <c r="AJ247" s="149"/>
      <c r="AK247" s="149"/>
      <c r="AL247" s="148" t="s">
        <v>6</v>
      </c>
      <c r="AM247" s="149"/>
      <c r="AN247" s="144" t="s">
        <v>6</v>
      </c>
      <c r="AO247" s="145"/>
      <c r="AP247" s="145"/>
      <c r="AQ247" s="145"/>
      <c r="AR247" s="145"/>
      <c r="AS247" s="144" t="s">
        <v>6</v>
      </c>
      <c r="AT247" s="145"/>
      <c r="AU247" s="145"/>
      <c r="AV247" s="145"/>
      <c r="AW247" s="145"/>
      <c r="AX247" s="145"/>
      <c r="AY247" s="145"/>
      <c r="AZ247" s="145"/>
      <c r="BA247" s="152">
        <f>SUM(BA248:BA248)</f>
        <v>5215.0349999999999</v>
      </c>
      <c r="BB247" s="145"/>
      <c r="BC247" s="145"/>
      <c r="BD247" s="145"/>
      <c r="BE247" s="145"/>
      <c r="BF247" s="145"/>
      <c r="BG247" s="145"/>
      <c r="BH247" s="145"/>
      <c r="BI247" s="148" t="s">
        <v>6</v>
      </c>
      <c r="BJ247" s="149"/>
      <c r="BK247" s="149"/>
      <c r="BL247" s="149"/>
      <c r="BM247" s="149"/>
      <c r="BN247" s="149"/>
    </row>
    <row r="248" spans="1:253">
      <c r="A248" s="142" t="s">
        <v>198</v>
      </c>
      <c r="B248" s="143"/>
      <c r="C248" s="142" t="s">
        <v>406</v>
      </c>
      <c r="D248" s="143"/>
      <c r="E248" s="143"/>
      <c r="F248" s="143"/>
      <c r="G248" s="143"/>
      <c r="H248" s="143"/>
      <c r="I248" s="142" t="s">
        <v>624</v>
      </c>
      <c r="J248" s="143"/>
      <c r="K248" s="143"/>
      <c r="L248" s="143"/>
      <c r="M248" s="143"/>
      <c r="N248" s="143"/>
      <c r="O248" s="143"/>
      <c r="P248" s="143"/>
      <c r="Q248" s="143"/>
      <c r="R248" s="143"/>
      <c r="S248" s="143"/>
      <c r="T248" s="143"/>
      <c r="U248" s="143"/>
      <c r="V248" s="143"/>
      <c r="W248" s="143"/>
      <c r="X248" s="143"/>
      <c r="Y248" s="143"/>
      <c r="Z248" s="143"/>
      <c r="AA248" s="143"/>
      <c r="AB248" s="143"/>
      <c r="AC248" s="143"/>
      <c r="AD248" s="143"/>
      <c r="AE248" s="143"/>
      <c r="AF248" s="143"/>
      <c r="AG248" s="143"/>
      <c r="AH248" s="143"/>
      <c r="AI248" s="143"/>
      <c r="AJ248" s="143"/>
      <c r="AK248" s="143"/>
      <c r="AL248" s="142" t="s">
        <v>638</v>
      </c>
      <c r="AM248" s="143"/>
      <c r="AN248" s="140">
        <v>3.5</v>
      </c>
      <c r="AO248" s="141"/>
      <c r="AP248" s="141"/>
      <c r="AQ248" s="141"/>
      <c r="AR248" s="141"/>
      <c r="AS248" s="140">
        <v>1490.01</v>
      </c>
      <c r="AT248" s="141"/>
      <c r="AU248" s="141"/>
      <c r="AV248" s="141"/>
      <c r="AW248" s="141"/>
      <c r="AX248" s="141"/>
      <c r="AY248" s="141"/>
      <c r="AZ248" s="141"/>
      <c r="BA248" s="140">
        <f>IR248*AN248+IS248*AN248</f>
        <v>5215.0349999999999</v>
      </c>
      <c r="BB248" s="141"/>
      <c r="BC248" s="141"/>
      <c r="BD248" s="141"/>
      <c r="BE248" s="141"/>
      <c r="BF248" s="141"/>
      <c r="BG248" s="141"/>
      <c r="BH248" s="141"/>
      <c r="BI248" s="142" t="s">
        <v>653</v>
      </c>
      <c r="BJ248" s="143"/>
      <c r="BK248" s="143"/>
      <c r="BL248" s="143"/>
      <c r="BM248" s="143"/>
      <c r="BN248" s="143"/>
      <c r="IR248" s="9">
        <f>AS248*0</f>
        <v>0</v>
      </c>
      <c r="IS248" s="9">
        <f>AS248*(1-0)</f>
        <v>1490.01</v>
      </c>
    </row>
    <row r="249" spans="1:253">
      <c r="A249" s="142"/>
      <c r="B249" s="143"/>
      <c r="C249" s="143"/>
      <c r="D249" s="143"/>
      <c r="E249" s="143"/>
      <c r="F249" s="143"/>
      <c r="G249" s="143"/>
      <c r="H249" s="143"/>
      <c r="I249" s="150" t="s">
        <v>625</v>
      </c>
      <c r="J249" s="151"/>
      <c r="K249" s="151"/>
      <c r="L249" s="151"/>
      <c r="M249" s="151"/>
      <c r="N249" s="151"/>
      <c r="O249" s="151"/>
      <c r="P249" s="151"/>
      <c r="Q249" s="151"/>
      <c r="R249" s="151"/>
      <c r="S249" s="151"/>
      <c r="T249" s="151"/>
      <c r="U249" s="151"/>
      <c r="V249" s="151"/>
      <c r="W249" s="151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/>
      <c r="AH249" s="151"/>
      <c r="AI249" s="151"/>
      <c r="AJ249" s="151"/>
      <c r="AK249" s="151"/>
      <c r="AL249" s="142"/>
      <c r="AM249" s="143"/>
      <c r="AN249" s="143"/>
      <c r="AO249" s="143"/>
      <c r="AP249" s="143"/>
      <c r="AQ249" s="143"/>
      <c r="AR249" s="143"/>
      <c r="AS249" s="143"/>
      <c r="AT249" s="143"/>
      <c r="AU249" s="143"/>
      <c r="AV249" s="143"/>
      <c r="AW249" s="143"/>
      <c r="AX249" s="143"/>
      <c r="AY249" s="143"/>
      <c r="AZ249" s="143"/>
      <c r="BA249" s="143"/>
      <c r="BB249" s="143"/>
      <c r="BC249" s="143"/>
      <c r="BD249" s="143"/>
      <c r="BE249" s="143"/>
      <c r="BF249" s="143"/>
      <c r="BG249" s="143"/>
      <c r="BH249" s="143"/>
      <c r="BI249" s="143"/>
      <c r="BJ249" s="143"/>
      <c r="BK249" s="143"/>
      <c r="BL249" s="143"/>
      <c r="BM249" s="143"/>
      <c r="BN249" s="143"/>
    </row>
    <row r="250" spans="1:253">
      <c r="A250" s="148" t="s">
        <v>6</v>
      </c>
      <c r="B250" s="149"/>
      <c r="C250" s="148" t="s">
        <v>22</v>
      </c>
      <c r="D250" s="149"/>
      <c r="E250" s="149"/>
      <c r="F250" s="149"/>
      <c r="G250" s="149"/>
      <c r="H250" s="149"/>
      <c r="I250" s="148" t="s">
        <v>436</v>
      </c>
      <c r="J250" s="149"/>
      <c r="K250" s="149"/>
      <c r="L250" s="149"/>
      <c r="M250" s="149"/>
      <c r="N250" s="149"/>
      <c r="O250" s="149"/>
      <c r="P250" s="149"/>
      <c r="Q250" s="149"/>
      <c r="R250" s="149"/>
      <c r="S250" s="149"/>
      <c r="T250" s="149"/>
      <c r="U250" s="149"/>
      <c r="V250" s="149"/>
      <c r="W250" s="149"/>
      <c r="X250" s="149"/>
      <c r="Y250" s="149"/>
      <c r="Z250" s="149"/>
      <c r="AA250" s="149"/>
      <c r="AB250" s="149"/>
      <c r="AC250" s="149"/>
      <c r="AD250" s="149"/>
      <c r="AE250" s="149"/>
      <c r="AF250" s="149"/>
      <c r="AG250" s="149"/>
      <c r="AH250" s="149"/>
      <c r="AI250" s="149"/>
      <c r="AJ250" s="149"/>
      <c r="AK250" s="149"/>
      <c r="AL250" s="148" t="s">
        <v>6</v>
      </c>
      <c r="AM250" s="149"/>
      <c r="AN250" s="144" t="s">
        <v>6</v>
      </c>
      <c r="AO250" s="145"/>
      <c r="AP250" s="145"/>
      <c r="AQ250" s="145"/>
      <c r="AR250" s="145"/>
      <c r="AS250" s="144" t="s">
        <v>6</v>
      </c>
      <c r="AT250" s="145"/>
      <c r="AU250" s="145"/>
      <c r="AV250" s="145"/>
      <c r="AW250" s="145"/>
      <c r="AX250" s="145"/>
      <c r="AY250" s="145"/>
      <c r="AZ250" s="145"/>
      <c r="BA250" s="152">
        <f>SUM(BA251:BA252)</f>
        <v>5896.08</v>
      </c>
      <c r="BB250" s="145"/>
      <c r="BC250" s="145"/>
      <c r="BD250" s="145"/>
      <c r="BE250" s="145"/>
      <c r="BF250" s="145"/>
      <c r="BG250" s="145"/>
      <c r="BH250" s="145"/>
      <c r="BI250" s="148" t="s">
        <v>6</v>
      </c>
      <c r="BJ250" s="149"/>
      <c r="BK250" s="149"/>
      <c r="BL250" s="149"/>
      <c r="BM250" s="149"/>
      <c r="BN250" s="149"/>
    </row>
    <row r="251" spans="1:253">
      <c r="A251" s="142" t="s">
        <v>199</v>
      </c>
      <c r="B251" s="143"/>
      <c r="C251" s="142" t="s">
        <v>245</v>
      </c>
      <c r="D251" s="143"/>
      <c r="E251" s="143"/>
      <c r="F251" s="143"/>
      <c r="G251" s="143"/>
      <c r="H251" s="143"/>
      <c r="I251" s="142" t="s">
        <v>437</v>
      </c>
      <c r="J251" s="143"/>
      <c r="K251" s="143"/>
      <c r="L251" s="143"/>
      <c r="M251" s="143"/>
      <c r="N251" s="143"/>
      <c r="O251" s="143"/>
      <c r="P251" s="143"/>
      <c r="Q251" s="143"/>
      <c r="R251" s="143"/>
      <c r="S251" s="143"/>
      <c r="T251" s="143"/>
      <c r="U251" s="143"/>
      <c r="V251" s="143"/>
      <c r="W251" s="143"/>
      <c r="X251" s="143"/>
      <c r="Y251" s="143"/>
      <c r="Z251" s="143"/>
      <c r="AA251" s="143"/>
      <c r="AB251" s="143"/>
      <c r="AC251" s="143"/>
      <c r="AD251" s="143"/>
      <c r="AE251" s="143"/>
      <c r="AF251" s="143"/>
      <c r="AG251" s="143"/>
      <c r="AH251" s="143"/>
      <c r="AI251" s="143"/>
      <c r="AJ251" s="143"/>
      <c r="AK251" s="143"/>
      <c r="AL251" s="142" t="s">
        <v>638</v>
      </c>
      <c r="AM251" s="143"/>
      <c r="AN251" s="140">
        <v>34.200000000000003</v>
      </c>
      <c r="AO251" s="141"/>
      <c r="AP251" s="141"/>
      <c r="AQ251" s="141"/>
      <c r="AR251" s="141"/>
      <c r="AS251" s="140">
        <v>44.4</v>
      </c>
      <c r="AT251" s="141"/>
      <c r="AU251" s="141"/>
      <c r="AV251" s="141"/>
      <c r="AW251" s="141"/>
      <c r="AX251" s="141"/>
      <c r="AY251" s="141"/>
      <c r="AZ251" s="141"/>
      <c r="BA251" s="140">
        <f>IR251*AN251+IS251*AN251</f>
        <v>1518.48</v>
      </c>
      <c r="BB251" s="141"/>
      <c r="BC251" s="141"/>
      <c r="BD251" s="141"/>
      <c r="BE251" s="141"/>
      <c r="BF251" s="141"/>
      <c r="BG251" s="141"/>
      <c r="BH251" s="141"/>
      <c r="BI251" s="142" t="s">
        <v>653</v>
      </c>
      <c r="BJ251" s="143"/>
      <c r="BK251" s="143"/>
      <c r="BL251" s="143"/>
      <c r="BM251" s="143"/>
      <c r="BN251" s="143"/>
      <c r="IR251" s="9">
        <f>AS251*0</f>
        <v>0</v>
      </c>
      <c r="IS251" s="9">
        <f>AS251*(1-0)</f>
        <v>44.4</v>
      </c>
    </row>
    <row r="252" spans="1:253">
      <c r="A252" s="142" t="s">
        <v>200</v>
      </c>
      <c r="B252" s="143"/>
      <c r="C252" s="142" t="s">
        <v>246</v>
      </c>
      <c r="D252" s="143"/>
      <c r="E252" s="143"/>
      <c r="F252" s="143"/>
      <c r="G252" s="143"/>
      <c r="H252" s="143"/>
      <c r="I252" s="142" t="s">
        <v>438</v>
      </c>
      <c r="J252" s="143"/>
      <c r="K252" s="143"/>
      <c r="L252" s="143"/>
      <c r="M252" s="143"/>
      <c r="N252" s="143"/>
      <c r="O252" s="143"/>
      <c r="P252" s="143"/>
      <c r="Q252" s="143"/>
      <c r="R252" s="143"/>
      <c r="S252" s="143"/>
      <c r="T252" s="143"/>
      <c r="U252" s="143"/>
      <c r="V252" s="143"/>
      <c r="W252" s="143"/>
      <c r="X252" s="143"/>
      <c r="Y252" s="143"/>
      <c r="Z252" s="143"/>
      <c r="AA252" s="143"/>
      <c r="AB252" s="143"/>
      <c r="AC252" s="143"/>
      <c r="AD252" s="143"/>
      <c r="AE252" s="143"/>
      <c r="AF252" s="143"/>
      <c r="AG252" s="143"/>
      <c r="AH252" s="143"/>
      <c r="AI252" s="143"/>
      <c r="AJ252" s="143"/>
      <c r="AK252" s="143"/>
      <c r="AL252" s="142" t="s">
        <v>638</v>
      </c>
      <c r="AM252" s="143"/>
      <c r="AN252" s="140">
        <v>17.100000000000001</v>
      </c>
      <c r="AO252" s="141"/>
      <c r="AP252" s="141"/>
      <c r="AQ252" s="141"/>
      <c r="AR252" s="141"/>
      <c r="AS252" s="140">
        <v>256</v>
      </c>
      <c r="AT252" s="141"/>
      <c r="AU252" s="141"/>
      <c r="AV252" s="141"/>
      <c r="AW252" s="141"/>
      <c r="AX252" s="141"/>
      <c r="AY252" s="141"/>
      <c r="AZ252" s="141"/>
      <c r="BA252" s="140">
        <f>IR252*AN252+IS252*AN252</f>
        <v>4377.6000000000004</v>
      </c>
      <c r="BB252" s="141"/>
      <c r="BC252" s="141"/>
      <c r="BD252" s="141"/>
      <c r="BE252" s="141"/>
      <c r="BF252" s="141"/>
      <c r="BG252" s="141"/>
      <c r="BH252" s="141"/>
      <c r="BI252" s="142" t="s">
        <v>653</v>
      </c>
      <c r="BJ252" s="143"/>
      <c r="BK252" s="143"/>
      <c r="BL252" s="143"/>
      <c r="BM252" s="143"/>
      <c r="BN252" s="143"/>
      <c r="IR252" s="9">
        <f>AS252*0</f>
        <v>0</v>
      </c>
      <c r="IS252" s="9">
        <f>AS252*(1-0)</f>
        <v>256</v>
      </c>
    </row>
    <row r="253" spans="1:253">
      <c r="A253" s="148" t="s">
        <v>6</v>
      </c>
      <c r="B253" s="149"/>
      <c r="C253" s="148" t="s">
        <v>23</v>
      </c>
      <c r="D253" s="149"/>
      <c r="E253" s="149"/>
      <c r="F253" s="149"/>
      <c r="G253" s="149"/>
      <c r="H253" s="149"/>
      <c r="I253" s="148" t="s">
        <v>443</v>
      </c>
      <c r="J253" s="149"/>
      <c r="K253" s="149"/>
      <c r="L253" s="149"/>
      <c r="M253" s="149"/>
      <c r="N253" s="149"/>
      <c r="O253" s="149"/>
      <c r="P253" s="149"/>
      <c r="Q253" s="149"/>
      <c r="R253" s="149"/>
      <c r="S253" s="149"/>
      <c r="T253" s="149"/>
      <c r="U253" s="149"/>
      <c r="V253" s="149"/>
      <c r="W253" s="149"/>
      <c r="X253" s="149"/>
      <c r="Y253" s="149"/>
      <c r="Z253" s="149"/>
      <c r="AA253" s="149"/>
      <c r="AB253" s="149"/>
      <c r="AC253" s="149"/>
      <c r="AD253" s="149"/>
      <c r="AE253" s="149"/>
      <c r="AF253" s="149"/>
      <c r="AG253" s="149"/>
      <c r="AH253" s="149"/>
      <c r="AI253" s="149"/>
      <c r="AJ253" s="149"/>
      <c r="AK253" s="149"/>
      <c r="AL253" s="148" t="s">
        <v>6</v>
      </c>
      <c r="AM253" s="149"/>
      <c r="AN253" s="144" t="s">
        <v>6</v>
      </c>
      <c r="AO253" s="145"/>
      <c r="AP253" s="145"/>
      <c r="AQ253" s="145"/>
      <c r="AR253" s="145"/>
      <c r="AS253" s="144" t="s">
        <v>6</v>
      </c>
      <c r="AT253" s="145"/>
      <c r="AU253" s="145"/>
      <c r="AV253" s="145"/>
      <c r="AW253" s="145"/>
      <c r="AX253" s="145"/>
      <c r="AY253" s="145"/>
      <c r="AZ253" s="145"/>
      <c r="BA253" s="152">
        <f>SUM(BA254:BA255)</f>
        <v>6286.92</v>
      </c>
      <c r="BB253" s="145"/>
      <c r="BC253" s="145"/>
      <c r="BD253" s="145"/>
      <c r="BE253" s="145"/>
      <c r="BF253" s="145"/>
      <c r="BG253" s="145"/>
      <c r="BH253" s="145"/>
      <c r="BI253" s="148" t="s">
        <v>6</v>
      </c>
      <c r="BJ253" s="149"/>
      <c r="BK253" s="149"/>
      <c r="BL253" s="149"/>
      <c r="BM253" s="149"/>
      <c r="BN253" s="149"/>
    </row>
    <row r="254" spans="1:253">
      <c r="A254" s="142" t="s">
        <v>201</v>
      </c>
      <c r="B254" s="143"/>
      <c r="C254" s="142" t="s">
        <v>252</v>
      </c>
      <c r="D254" s="143"/>
      <c r="E254" s="143"/>
      <c r="F254" s="143"/>
      <c r="G254" s="143"/>
      <c r="H254" s="143"/>
      <c r="I254" s="142" t="s">
        <v>445</v>
      </c>
      <c r="J254" s="143"/>
      <c r="K254" s="143"/>
      <c r="L254" s="143"/>
      <c r="M254" s="143"/>
      <c r="N254" s="143"/>
      <c r="O254" s="143"/>
      <c r="P254" s="143"/>
      <c r="Q254" s="143"/>
      <c r="R254" s="143"/>
      <c r="S254" s="143"/>
      <c r="T254" s="143"/>
      <c r="U254" s="143"/>
      <c r="V254" s="143"/>
      <c r="W254" s="143"/>
      <c r="X254" s="143"/>
      <c r="Y254" s="143"/>
      <c r="Z254" s="143"/>
      <c r="AA254" s="143"/>
      <c r="AB254" s="143"/>
      <c r="AC254" s="143"/>
      <c r="AD254" s="143"/>
      <c r="AE254" s="143"/>
      <c r="AF254" s="143"/>
      <c r="AG254" s="143"/>
      <c r="AH254" s="143"/>
      <c r="AI254" s="143"/>
      <c r="AJ254" s="143"/>
      <c r="AK254" s="143"/>
      <c r="AL254" s="142" t="s">
        <v>638</v>
      </c>
      <c r="AM254" s="143"/>
      <c r="AN254" s="140">
        <v>12</v>
      </c>
      <c r="AO254" s="141"/>
      <c r="AP254" s="141"/>
      <c r="AQ254" s="141"/>
      <c r="AR254" s="141"/>
      <c r="AS254" s="140">
        <v>469.51</v>
      </c>
      <c r="AT254" s="141"/>
      <c r="AU254" s="141"/>
      <c r="AV254" s="141"/>
      <c r="AW254" s="141"/>
      <c r="AX254" s="141"/>
      <c r="AY254" s="141"/>
      <c r="AZ254" s="141"/>
      <c r="BA254" s="140">
        <f>IR254*AN254+IS254*AN254</f>
        <v>5634.12</v>
      </c>
      <c r="BB254" s="141"/>
      <c r="BC254" s="141"/>
      <c r="BD254" s="141"/>
      <c r="BE254" s="141"/>
      <c r="BF254" s="141"/>
      <c r="BG254" s="141"/>
      <c r="BH254" s="141"/>
      <c r="BI254" s="142" t="s">
        <v>653</v>
      </c>
      <c r="BJ254" s="143"/>
      <c r="BK254" s="143"/>
      <c r="BL254" s="143"/>
      <c r="BM254" s="143"/>
      <c r="BN254" s="143"/>
      <c r="IR254" s="9">
        <f>AS254*0</f>
        <v>0</v>
      </c>
      <c r="IS254" s="9">
        <f>AS254*(1-0)</f>
        <v>469.51</v>
      </c>
    </row>
    <row r="255" spans="1:253">
      <c r="A255" s="155" t="s">
        <v>202</v>
      </c>
      <c r="B255" s="156"/>
      <c r="C255" s="155" t="s">
        <v>254</v>
      </c>
      <c r="D255" s="156"/>
      <c r="E255" s="156"/>
      <c r="F255" s="156"/>
      <c r="G255" s="156"/>
      <c r="H255" s="156"/>
      <c r="I255" s="155" t="s">
        <v>447</v>
      </c>
      <c r="J255" s="156"/>
      <c r="K255" s="156"/>
      <c r="L255" s="156"/>
      <c r="M255" s="156"/>
      <c r="N255" s="156"/>
      <c r="O255" s="156"/>
      <c r="P255" s="156"/>
      <c r="Q255" s="156"/>
      <c r="R255" s="156"/>
      <c r="S255" s="156"/>
      <c r="T255" s="156"/>
      <c r="U255" s="156"/>
      <c r="V255" s="156"/>
      <c r="W255" s="156"/>
      <c r="X255" s="156"/>
      <c r="Y255" s="156"/>
      <c r="Z255" s="156"/>
      <c r="AA255" s="156"/>
      <c r="AB255" s="156"/>
      <c r="AC255" s="156"/>
      <c r="AD255" s="156"/>
      <c r="AE255" s="156"/>
      <c r="AF255" s="156"/>
      <c r="AG255" s="156"/>
      <c r="AH255" s="156"/>
      <c r="AI255" s="156"/>
      <c r="AJ255" s="156"/>
      <c r="AK255" s="156"/>
      <c r="AL255" s="155" t="s">
        <v>639</v>
      </c>
      <c r="AM255" s="156"/>
      <c r="AN255" s="153">
        <v>1.92</v>
      </c>
      <c r="AO255" s="154"/>
      <c r="AP255" s="154"/>
      <c r="AQ255" s="154"/>
      <c r="AR255" s="154"/>
      <c r="AS255" s="153">
        <v>340</v>
      </c>
      <c r="AT255" s="154"/>
      <c r="AU255" s="154"/>
      <c r="AV255" s="154"/>
      <c r="AW255" s="154"/>
      <c r="AX255" s="154"/>
      <c r="AY255" s="154"/>
      <c r="AZ255" s="154"/>
      <c r="BA255" s="153">
        <f>IR255*AN255+IS255*AN255</f>
        <v>652.79999999999995</v>
      </c>
      <c r="BB255" s="154"/>
      <c r="BC255" s="154"/>
      <c r="BD255" s="154"/>
      <c r="BE255" s="154"/>
      <c r="BF255" s="154"/>
      <c r="BG255" s="154"/>
      <c r="BH255" s="154"/>
      <c r="BI255" s="155" t="s">
        <v>653</v>
      </c>
      <c r="BJ255" s="156"/>
      <c r="BK255" s="156"/>
      <c r="BL255" s="156"/>
      <c r="BM255" s="156"/>
      <c r="BN255" s="156"/>
      <c r="IR255" s="10">
        <f>AS255*1</f>
        <v>340</v>
      </c>
      <c r="IS255" s="10">
        <f>AS255*(1-1)</f>
        <v>0</v>
      </c>
    </row>
    <row r="256" spans="1:253">
      <c r="A256" s="148" t="s">
        <v>6</v>
      </c>
      <c r="B256" s="149"/>
      <c r="C256" s="148" t="s">
        <v>24</v>
      </c>
      <c r="D256" s="149"/>
      <c r="E256" s="149"/>
      <c r="F256" s="149"/>
      <c r="G256" s="149"/>
      <c r="H256" s="149"/>
      <c r="I256" s="148" t="s">
        <v>450</v>
      </c>
      <c r="J256" s="149"/>
      <c r="K256" s="149"/>
      <c r="L256" s="149"/>
      <c r="M256" s="149"/>
      <c r="N256" s="149"/>
      <c r="O256" s="149"/>
      <c r="P256" s="149"/>
      <c r="Q256" s="149"/>
      <c r="R256" s="149"/>
      <c r="S256" s="149"/>
      <c r="T256" s="149"/>
      <c r="U256" s="149"/>
      <c r="V256" s="149"/>
      <c r="W256" s="149"/>
      <c r="X256" s="149"/>
      <c r="Y256" s="149"/>
      <c r="Z256" s="149"/>
      <c r="AA256" s="149"/>
      <c r="AB256" s="149"/>
      <c r="AC256" s="149"/>
      <c r="AD256" s="149"/>
      <c r="AE256" s="149"/>
      <c r="AF256" s="149"/>
      <c r="AG256" s="149"/>
      <c r="AH256" s="149"/>
      <c r="AI256" s="149"/>
      <c r="AJ256" s="149"/>
      <c r="AK256" s="149"/>
      <c r="AL256" s="148" t="s">
        <v>6</v>
      </c>
      <c r="AM256" s="149"/>
      <c r="AN256" s="144" t="s">
        <v>6</v>
      </c>
      <c r="AO256" s="145"/>
      <c r="AP256" s="145"/>
      <c r="AQ256" s="145"/>
      <c r="AR256" s="145"/>
      <c r="AS256" s="144" t="s">
        <v>6</v>
      </c>
      <c r="AT256" s="145"/>
      <c r="AU256" s="145"/>
      <c r="AV256" s="145"/>
      <c r="AW256" s="145"/>
      <c r="AX256" s="145"/>
      <c r="AY256" s="145"/>
      <c r="AZ256" s="145"/>
      <c r="BA256" s="152">
        <f>SUM(BA257:BA263)</f>
        <v>4275.8959999999997</v>
      </c>
      <c r="BB256" s="145"/>
      <c r="BC256" s="145"/>
      <c r="BD256" s="145"/>
      <c r="BE256" s="145"/>
      <c r="BF256" s="145"/>
      <c r="BG256" s="145"/>
      <c r="BH256" s="145"/>
      <c r="BI256" s="148" t="s">
        <v>6</v>
      </c>
      <c r="BJ256" s="149"/>
      <c r="BK256" s="149"/>
      <c r="BL256" s="149"/>
      <c r="BM256" s="149"/>
      <c r="BN256" s="149"/>
    </row>
    <row r="257" spans="1:253">
      <c r="A257" s="142" t="s">
        <v>203</v>
      </c>
      <c r="B257" s="143"/>
      <c r="C257" s="142" t="s">
        <v>262</v>
      </c>
      <c r="D257" s="143"/>
      <c r="E257" s="143"/>
      <c r="F257" s="143"/>
      <c r="G257" s="143"/>
      <c r="H257" s="143"/>
      <c r="I257" s="142" t="s">
        <v>456</v>
      </c>
      <c r="J257" s="143"/>
      <c r="K257" s="143"/>
      <c r="L257" s="143"/>
      <c r="M257" s="143"/>
      <c r="N257" s="143"/>
      <c r="O257" s="143"/>
      <c r="P257" s="143"/>
      <c r="Q257" s="143"/>
      <c r="R257" s="143"/>
      <c r="S257" s="143"/>
      <c r="T257" s="143"/>
      <c r="U257" s="143"/>
      <c r="V257" s="143"/>
      <c r="W257" s="143"/>
      <c r="X257" s="143"/>
      <c r="Y257" s="143"/>
      <c r="Z257" s="143"/>
      <c r="AA257" s="143"/>
      <c r="AB257" s="143"/>
      <c r="AC257" s="143"/>
      <c r="AD257" s="143"/>
      <c r="AE257" s="143"/>
      <c r="AF257" s="143"/>
      <c r="AG257" s="143"/>
      <c r="AH257" s="143"/>
      <c r="AI257" s="143"/>
      <c r="AJ257" s="143"/>
      <c r="AK257" s="143"/>
      <c r="AL257" s="142" t="s">
        <v>636</v>
      </c>
      <c r="AM257" s="143"/>
      <c r="AN257" s="140">
        <v>40</v>
      </c>
      <c r="AO257" s="141"/>
      <c r="AP257" s="141"/>
      <c r="AQ257" s="141"/>
      <c r="AR257" s="141"/>
      <c r="AS257" s="140">
        <v>63.3</v>
      </c>
      <c r="AT257" s="141"/>
      <c r="AU257" s="141"/>
      <c r="AV257" s="141"/>
      <c r="AW257" s="141"/>
      <c r="AX257" s="141"/>
      <c r="AY257" s="141"/>
      <c r="AZ257" s="141"/>
      <c r="BA257" s="140">
        <f t="shared" ref="BA257:BA263" si="20">IR257*AN257+IS257*AN257</f>
        <v>2532</v>
      </c>
      <c r="BB257" s="141"/>
      <c r="BC257" s="141"/>
      <c r="BD257" s="141"/>
      <c r="BE257" s="141"/>
      <c r="BF257" s="141"/>
      <c r="BG257" s="141"/>
      <c r="BH257" s="141"/>
      <c r="BI257" s="142" t="s">
        <v>653</v>
      </c>
      <c r="BJ257" s="143"/>
      <c r="BK257" s="143"/>
      <c r="BL257" s="143"/>
      <c r="BM257" s="143"/>
      <c r="BN257" s="143"/>
      <c r="IR257" s="9">
        <f>AS257*0</f>
        <v>0</v>
      </c>
      <c r="IS257" s="9">
        <f>AS257*(1-0)</f>
        <v>63.3</v>
      </c>
    </row>
    <row r="258" spans="1:253">
      <c r="A258" s="155" t="s">
        <v>204</v>
      </c>
      <c r="B258" s="156"/>
      <c r="C258" s="155" t="s">
        <v>263</v>
      </c>
      <c r="D258" s="156"/>
      <c r="E258" s="156"/>
      <c r="F258" s="156"/>
      <c r="G258" s="156"/>
      <c r="H258" s="156"/>
      <c r="I258" s="155" t="s">
        <v>457</v>
      </c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  <c r="Z258" s="156"/>
      <c r="AA258" s="156"/>
      <c r="AB258" s="156"/>
      <c r="AC258" s="156"/>
      <c r="AD258" s="156"/>
      <c r="AE258" s="156"/>
      <c r="AF258" s="156"/>
      <c r="AG258" s="156"/>
      <c r="AH258" s="156"/>
      <c r="AI258" s="156"/>
      <c r="AJ258" s="156"/>
      <c r="AK258" s="156"/>
      <c r="AL258" s="155" t="s">
        <v>638</v>
      </c>
      <c r="AM258" s="156"/>
      <c r="AN258" s="153">
        <v>0.5</v>
      </c>
      <c r="AO258" s="154"/>
      <c r="AP258" s="154"/>
      <c r="AQ258" s="154"/>
      <c r="AR258" s="154"/>
      <c r="AS258" s="153">
        <v>418</v>
      </c>
      <c r="AT258" s="154"/>
      <c r="AU258" s="154"/>
      <c r="AV258" s="154"/>
      <c r="AW258" s="154"/>
      <c r="AX258" s="154"/>
      <c r="AY258" s="154"/>
      <c r="AZ258" s="154"/>
      <c r="BA258" s="153">
        <f t="shared" si="20"/>
        <v>209</v>
      </c>
      <c r="BB258" s="154"/>
      <c r="BC258" s="154"/>
      <c r="BD258" s="154"/>
      <c r="BE258" s="154"/>
      <c r="BF258" s="154"/>
      <c r="BG258" s="154"/>
      <c r="BH258" s="154"/>
      <c r="BI258" s="155" t="s">
        <v>653</v>
      </c>
      <c r="BJ258" s="156"/>
      <c r="BK258" s="156"/>
      <c r="BL258" s="156"/>
      <c r="BM258" s="156"/>
      <c r="BN258" s="156"/>
      <c r="IR258" s="10">
        <f>AS258*1</f>
        <v>418</v>
      </c>
      <c r="IS258" s="10">
        <f>AS258*(1-1)</f>
        <v>0</v>
      </c>
    </row>
    <row r="259" spans="1:253">
      <c r="A259" s="142" t="s">
        <v>205</v>
      </c>
      <c r="B259" s="143"/>
      <c r="C259" s="142" t="s">
        <v>257</v>
      </c>
      <c r="D259" s="143"/>
      <c r="E259" s="143"/>
      <c r="F259" s="143"/>
      <c r="G259" s="143"/>
      <c r="H259" s="143"/>
      <c r="I259" s="142" t="s">
        <v>451</v>
      </c>
      <c r="J259" s="143"/>
      <c r="K259" s="143"/>
      <c r="L259" s="143"/>
      <c r="M259" s="143"/>
      <c r="N259" s="143"/>
      <c r="O259" s="143"/>
      <c r="P259" s="143"/>
      <c r="Q259" s="143"/>
      <c r="R259" s="143"/>
      <c r="S259" s="143"/>
      <c r="T259" s="143"/>
      <c r="U259" s="143"/>
      <c r="V259" s="143"/>
      <c r="W259" s="143"/>
      <c r="X259" s="143"/>
      <c r="Y259" s="143"/>
      <c r="Z259" s="143"/>
      <c r="AA259" s="143"/>
      <c r="AB259" s="143"/>
      <c r="AC259" s="143"/>
      <c r="AD259" s="143"/>
      <c r="AE259" s="143"/>
      <c r="AF259" s="143"/>
      <c r="AG259" s="143"/>
      <c r="AH259" s="143"/>
      <c r="AI259" s="143"/>
      <c r="AJ259" s="143"/>
      <c r="AK259" s="143"/>
      <c r="AL259" s="142" t="s">
        <v>636</v>
      </c>
      <c r="AM259" s="143"/>
      <c r="AN259" s="140">
        <v>40</v>
      </c>
      <c r="AO259" s="141"/>
      <c r="AP259" s="141"/>
      <c r="AQ259" s="141"/>
      <c r="AR259" s="141"/>
      <c r="AS259" s="140">
        <v>23.2</v>
      </c>
      <c r="AT259" s="141"/>
      <c r="AU259" s="141"/>
      <c r="AV259" s="141"/>
      <c r="AW259" s="141"/>
      <c r="AX259" s="141"/>
      <c r="AY259" s="141"/>
      <c r="AZ259" s="141"/>
      <c r="BA259" s="140">
        <f t="shared" si="20"/>
        <v>928</v>
      </c>
      <c r="BB259" s="141"/>
      <c r="BC259" s="141"/>
      <c r="BD259" s="141"/>
      <c r="BE259" s="141"/>
      <c r="BF259" s="141"/>
      <c r="BG259" s="141"/>
      <c r="BH259" s="141"/>
      <c r="BI259" s="142" t="s">
        <v>653</v>
      </c>
      <c r="BJ259" s="143"/>
      <c r="BK259" s="143"/>
      <c r="BL259" s="143"/>
      <c r="BM259" s="143"/>
      <c r="BN259" s="143"/>
      <c r="IR259" s="9">
        <f>AS259*0.0706896551724138</f>
        <v>1.64</v>
      </c>
      <c r="IS259" s="9">
        <f>AS259*(1-0.0706896551724138)</f>
        <v>21.56</v>
      </c>
    </row>
    <row r="260" spans="1:253">
      <c r="A260" s="142" t="s">
        <v>206</v>
      </c>
      <c r="B260" s="143"/>
      <c r="C260" s="142" t="s">
        <v>258</v>
      </c>
      <c r="D260" s="143"/>
      <c r="E260" s="143"/>
      <c r="F260" s="143"/>
      <c r="G260" s="143"/>
      <c r="H260" s="143"/>
      <c r="I260" s="142" t="s">
        <v>452</v>
      </c>
      <c r="J260" s="143"/>
      <c r="K260" s="143"/>
      <c r="L260" s="143"/>
      <c r="M260" s="143"/>
      <c r="N260" s="143"/>
      <c r="O260" s="143"/>
      <c r="P260" s="143"/>
      <c r="Q260" s="143"/>
      <c r="R260" s="143"/>
      <c r="S260" s="143"/>
      <c r="T260" s="143"/>
      <c r="U260" s="143"/>
      <c r="V260" s="143"/>
      <c r="W260" s="143"/>
      <c r="X260" s="143"/>
      <c r="Y260" s="143"/>
      <c r="Z260" s="143"/>
      <c r="AA260" s="143"/>
      <c r="AB260" s="143"/>
      <c r="AC260" s="143"/>
      <c r="AD260" s="143"/>
      <c r="AE260" s="143"/>
      <c r="AF260" s="143"/>
      <c r="AG260" s="143"/>
      <c r="AH260" s="143"/>
      <c r="AI260" s="143"/>
      <c r="AJ260" s="143"/>
      <c r="AK260" s="143"/>
      <c r="AL260" s="142" t="s">
        <v>636</v>
      </c>
      <c r="AM260" s="143"/>
      <c r="AN260" s="140">
        <v>40</v>
      </c>
      <c r="AO260" s="141"/>
      <c r="AP260" s="141"/>
      <c r="AQ260" s="141"/>
      <c r="AR260" s="141"/>
      <c r="AS260" s="140">
        <v>4.51</v>
      </c>
      <c r="AT260" s="141"/>
      <c r="AU260" s="141"/>
      <c r="AV260" s="141"/>
      <c r="AW260" s="141"/>
      <c r="AX260" s="141"/>
      <c r="AY260" s="141"/>
      <c r="AZ260" s="141"/>
      <c r="BA260" s="140">
        <f t="shared" si="20"/>
        <v>180.39999999999998</v>
      </c>
      <c r="BB260" s="141"/>
      <c r="BC260" s="141"/>
      <c r="BD260" s="141"/>
      <c r="BE260" s="141"/>
      <c r="BF260" s="141"/>
      <c r="BG260" s="141"/>
      <c r="BH260" s="141"/>
      <c r="BI260" s="142" t="s">
        <v>653</v>
      </c>
      <c r="BJ260" s="143"/>
      <c r="BK260" s="143"/>
      <c r="BL260" s="143"/>
      <c r="BM260" s="143"/>
      <c r="BN260" s="143"/>
      <c r="IR260" s="9">
        <f>AS260*0.00665188470066519</f>
        <v>3.0000000000000006E-2</v>
      </c>
      <c r="IS260" s="9">
        <f>AS260*(1-0.00665188470066519)</f>
        <v>4.4799999999999995</v>
      </c>
    </row>
    <row r="261" spans="1:253">
      <c r="A261" s="142" t="s">
        <v>207</v>
      </c>
      <c r="B261" s="143"/>
      <c r="C261" s="142" t="s">
        <v>259</v>
      </c>
      <c r="D261" s="143"/>
      <c r="E261" s="143"/>
      <c r="F261" s="143"/>
      <c r="G261" s="143"/>
      <c r="H261" s="143"/>
      <c r="I261" s="142" t="s">
        <v>453</v>
      </c>
      <c r="J261" s="143"/>
      <c r="K261" s="143"/>
      <c r="L261" s="143"/>
      <c r="M261" s="143"/>
      <c r="N261" s="143"/>
      <c r="O261" s="143"/>
      <c r="P261" s="143"/>
      <c r="Q261" s="143"/>
      <c r="R261" s="143"/>
      <c r="S261" s="143"/>
      <c r="T261" s="143"/>
      <c r="U261" s="143"/>
      <c r="V261" s="143"/>
      <c r="W261" s="143"/>
      <c r="X261" s="143"/>
      <c r="Y261" s="143"/>
      <c r="Z261" s="143"/>
      <c r="AA261" s="143"/>
      <c r="AB261" s="143"/>
      <c r="AC261" s="143"/>
      <c r="AD261" s="143"/>
      <c r="AE261" s="143"/>
      <c r="AF261" s="143"/>
      <c r="AG261" s="143"/>
      <c r="AH261" s="143"/>
      <c r="AI261" s="143"/>
      <c r="AJ261" s="143"/>
      <c r="AK261" s="143"/>
      <c r="AL261" s="142" t="s">
        <v>636</v>
      </c>
      <c r="AM261" s="143"/>
      <c r="AN261" s="140">
        <v>40</v>
      </c>
      <c r="AO261" s="141"/>
      <c r="AP261" s="141"/>
      <c r="AQ261" s="141"/>
      <c r="AR261" s="141"/>
      <c r="AS261" s="140">
        <v>4.8499999999999996</v>
      </c>
      <c r="AT261" s="141"/>
      <c r="AU261" s="141"/>
      <c r="AV261" s="141"/>
      <c r="AW261" s="141"/>
      <c r="AX261" s="141"/>
      <c r="AY261" s="141"/>
      <c r="AZ261" s="141"/>
      <c r="BA261" s="140">
        <f t="shared" si="20"/>
        <v>194</v>
      </c>
      <c r="BB261" s="141"/>
      <c r="BC261" s="141"/>
      <c r="BD261" s="141"/>
      <c r="BE261" s="141"/>
      <c r="BF261" s="141"/>
      <c r="BG261" s="141"/>
      <c r="BH261" s="141"/>
      <c r="BI261" s="142" t="s">
        <v>653</v>
      </c>
      <c r="BJ261" s="143"/>
      <c r="BK261" s="143"/>
      <c r="BL261" s="143"/>
      <c r="BM261" s="143"/>
      <c r="BN261" s="143"/>
      <c r="IR261" s="9">
        <f>AS261*0</f>
        <v>0</v>
      </c>
      <c r="IS261" s="9">
        <f>AS261*(1-0)</f>
        <v>4.8499999999999996</v>
      </c>
    </row>
    <row r="262" spans="1:253">
      <c r="A262" s="155" t="s">
        <v>208</v>
      </c>
      <c r="B262" s="156"/>
      <c r="C262" s="155" t="s">
        <v>260</v>
      </c>
      <c r="D262" s="156"/>
      <c r="E262" s="156"/>
      <c r="F262" s="156"/>
      <c r="G262" s="156"/>
      <c r="H262" s="156"/>
      <c r="I262" s="155" t="s">
        <v>454</v>
      </c>
      <c r="J262" s="156"/>
      <c r="K262" s="156"/>
      <c r="L262" s="156"/>
      <c r="M262" s="156"/>
      <c r="N262" s="156"/>
      <c r="O262" s="156"/>
      <c r="P262" s="156"/>
      <c r="Q262" s="156"/>
      <c r="R262" s="156"/>
      <c r="S262" s="156"/>
      <c r="T262" s="156"/>
      <c r="U262" s="156"/>
      <c r="V262" s="156"/>
      <c r="W262" s="156"/>
      <c r="X262" s="156"/>
      <c r="Y262" s="156"/>
      <c r="Z262" s="156"/>
      <c r="AA262" s="156"/>
      <c r="AB262" s="156"/>
      <c r="AC262" s="156"/>
      <c r="AD262" s="156"/>
      <c r="AE262" s="156"/>
      <c r="AF262" s="156"/>
      <c r="AG262" s="156"/>
      <c r="AH262" s="156"/>
      <c r="AI262" s="156"/>
      <c r="AJ262" s="156"/>
      <c r="AK262" s="156"/>
      <c r="AL262" s="155" t="s">
        <v>640</v>
      </c>
      <c r="AM262" s="156"/>
      <c r="AN262" s="153">
        <v>1.2</v>
      </c>
      <c r="AO262" s="154"/>
      <c r="AP262" s="154"/>
      <c r="AQ262" s="154"/>
      <c r="AR262" s="154"/>
      <c r="AS262" s="153">
        <v>105</v>
      </c>
      <c r="AT262" s="154"/>
      <c r="AU262" s="154"/>
      <c r="AV262" s="154"/>
      <c r="AW262" s="154"/>
      <c r="AX262" s="154"/>
      <c r="AY262" s="154"/>
      <c r="AZ262" s="154"/>
      <c r="BA262" s="153">
        <f t="shared" si="20"/>
        <v>126</v>
      </c>
      <c r="BB262" s="154"/>
      <c r="BC262" s="154"/>
      <c r="BD262" s="154"/>
      <c r="BE262" s="154"/>
      <c r="BF262" s="154"/>
      <c r="BG262" s="154"/>
      <c r="BH262" s="154"/>
      <c r="BI262" s="155" t="s">
        <v>653</v>
      </c>
      <c r="BJ262" s="156"/>
      <c r="BK262" s="156"/>
      <c r="BL262" s="156"/>
      <c r="BM262" s="156"/>
      <c r="BN262" s="156"/>
      <c r="IR262" s="10">
        <f>AS262*1</f>
        <v>105</v>
      </c>
      <c r="IS262" s="10">
        <f>AS262*(1-1)</f>
        <v>0</v>
      </c>
    </row>
    <row r="263" spans="1:253">
      <c r="A263" s="155" t="s">
        <v>209</v>
      </c>
      <c r="B263" s="156"/>
      <c r="C263" s="155" t="s">
        <v>261</v>
      </c>
      <c r="D263" s="156"/>
      <c r="E263" s="156"/>
      <c r="F263" s="156"/>
      <c r="G263" s="156"/>
      <c r="H263" s="156"/>
      <c r="I263" s="155" t="s">
        <v>455</v>
      </c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  <c r="Z263" s="156"/>
      <c r="AA263" s="156"/>
      <c r="AB263" s="156"/>
      <c r="AC263" s="156"/>
      <c r="AD263" s="156"/>
      <c r="AE263" s="156"/>
      <c r="AF263" s="156"/>
      <c r="AG263" s="156"/>
      <c r="AH263" s="156"/>
      <c r="AI263" s="156"/>
      <c r="AJ263" s="156"/>
      <c r="AK263" s="156"/>
      <c r="AL263" s="155" t="s">
        <v>641</v>
      </c>
      <c r="AM263" s="156"/>
      <c r="AN263" s="153">
        <v>0.4</v>
      </c>
      <c r="AO263" s="154"/>
      <c r="AP263" s="154"/>
      <c r="AQ263" s="154"/>
      <c r="AR263" s="154"/>
      <c r="AS263" s="153">
        <v>266.24</v>
      </c>
      <c r="AT263" s="154"/>
      <c r="AU263" s="154"/>
      <c r="AV263" s="154"/>
      <c r="AW263" s="154"/>
      <c r="AX263" s="154"/>
      <c r="AY263" s="154"/>
      <c r="AZ263" s="154"/>
      <c r="BA263" s="153">
        <f t="shared" si="20"/>
        <v>106.49600000000001</v>
      </c>
      <c r="BB263" s="154"/>
      <c r="BC263" s="154"/>
      <c r="BD263" s="154"/>
      <c r="BE263" s="154"/>
      <c r="BF263" s="154"/>
      <c r="BG263" s="154"/>
      <c r="BH263" s="154"/>
      <c r="BI263" s="155" t="s">
        <v>653</v>
      </c>
      <c r="BJ263" s="156"/>
      <c r="BK263" s="156"/>
      <c r="BL263" s="156"/>
      <c r="BM263" s="156"/>
      <c r="BN263" s="156"/>
      <c r="IR263" s="10">
        <f>AS263*1</f>
        <v>266.24</v>
      </c>
      <c r="IS263" s="10">
        <f>AS263*(1-1)</f>
        <v>0</v>
      </c>
    </row>
    <row r="264" spans="1:253">
      <c r="A264" s="148" t="s">
        <v>6</v>
      </c>
      <c r="B264" s="149"/>
      <c r="C264" s="148" t="s">
        <v>62</v>
      </c>
      <c r="D264" s="149"/>
      <c r="E264" s="149"/>
      <c r="F264" s="149"/>
      <c r="G264" s="149"/>
      <c r="H264" s="149"/>
      <c r="I264" s="148" t="s">
        <v>524</v>
      </c>
      <c r="J264" s="149"/>
      <c r="K264" s="149"/>
      <c r="L264" s="149"/>
      <c r="M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  <c r="Y264" s="149"/>
      <c r="Z264" s="149"/>
      <c r="AA264" s="149"/>
      <c r="AB264" s="149"/>
      <c r="AC264" s="149"/>
      <c r="AD264" s="149"/>
      <c r="AE264" s="149"/>
      <c r="AF264" s="149"/>
      <c r="AG264" s="149"/>
      <c r="AH264" s="149"/>
      <c r="AI264" s="149"/>
      <c r="AJ264" s="149"/>
      <c r="AK264" s="149"/>
      <c r="AL264" s="148" t="s">
        <v>6</v>
      </c>
      <c r="AM264" s="149"/>
      <c r="AN264" s="144" t="s">
        <v>6</v>
      </c>
      <c r="AO264" s="145"/>
      <c r="AP264" s="145"/>
      <c r="AQ264" s="145"/>
      <c r="AR264" s="145"/>
      <c r="AS264" s="144" t="s">
        <v>6</v>
      </c>
      <c r="AT264" s="145"/>
      <c r="AU264" s="145"/>
      <c r="AV264" s="145"/>
      <c r="AW264" s="145"/>
      <c r="AX264" s="145"/>
      <c r="AY264" s="145"/>
      <c r="AZ264" s="145"/>
      <c r="BA264" s="152">
        <f>SUM(BA265:BA267)</f>
        <v>150525.5</v>
      </c>
      <c r="BB264" s="145"/>
      <c r="BC264" s="145"/>
      <c r="BD264" s="145"/>
      <c r="BE264" s="145"/>
      <c r="BF264" s="145"/>
      <c r="BG264" s="145"/>
      <c r="BH264" s="145"/>
      <c r="BI264" s="148" t="s">
        <v>6</v>
      </c>
      <c r="BJ264" s="149"/>
      <c r="BK264" s="149"/>
      <c r="BL264" s="149"/>
      <c r="BM264" s="149"/>
      <c r="BN264" s="149"/>
    </row>
    <row r="265" spans="1:253">
      <c r="A265" s="142" t="s">
        <v>210</v>
      </c>
      <c r="B265" s="143"/>
      <c r="C265" s="142" t="s">
        <v>326</v>
      </c>
      <c r="D265" s="143"/>
      <c r="E265" s="143"/>
      <c r="F265" s="143"/>
      <c r="G265" s="143"/>
      <c r="H265" s="143"/>
      <c r="I265" s="142" t="s">
        <v>527</v>
      </c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  <c r="Z265" s="143"/>
      <c r="AA265" s="143"/>
      <c r="AB265" s="143"/>
      <c r="AC265" s="143"/>
      <c r="AD265" s="143"/>
      <c r="AE265" s="143"/>
      <c r="AF265" s="143"/>
      <c r="AG265" s="143"/>
      <c r="AH265" s="143"/>
      <c r="AI265" s="143"/>
      <c r="AJ265" s="143"/>
      <c r="AK265" s="143"/>
      <c r="AL265" s="142" t="s">
        <v>636</v>
      </c>
      <c r="AM265" s="143"/>
      <c r="AN265" s="140">
        <v>412</v>
      </c>
      <c r="AO265" s="141"/>
      <c r="AP265" s="141"/>
      <c r="AQ265" s="141"/>
      <c r="AR265" s="141"/>
      <c r="AS265" s="140">
        <v>174</v>
      </c>
      <c r="AT265" s="141"/>
      <c r="AU265" s="141"/>
      <c r="AV265" s="141"/>
      <c r="AW265" s="141"/>
      <c r="AX265" s="141"/>
      <c r="AY265" s="141"/>
      <c r="AZ265" s="141"/>
      <c r="BA265" s="140">
        <f>IR265*AN265+IS265*AN265</f>
        <v>71688</v>
      </c>
      <c r="BB265" s="141"/>
      <c r="BC265" s="141"/>
      <c r="BD265" s="141"/>
      <c r="BE265" s="141"/>
      <c r="BF265" s="141"/>
      <c r="BG265" s="141"/>
      <c r="BH265" s="141"/>
      <c r="BI265" s="142" t="s">
        <v>653</v>
      </c>
      <c r="BJ265" s="143"/>
      <c r="BK265" s="143"/>
      <c r="BL265" s="143"/>
      <c r="BM265" s="143"/>
      <c r="BN265" s="143"/>
      <c r="IR265" s="9">
        <f>AS265*0.854252873563218</f>
        <v>148.63999999999993</v>
      </c>
      <c r="IS265" s="9">
        <f>AS265*(1-0.854252873563218)</f>
        <v>25.36000000000007</v>
      </c>
    </row>
    <row r="266" spans="1:253">
      <c r="A266" s="142"/>
      <c r="B266" s="143"/>
      <c r="C266" s="143"/>
      <c r="D266" s="143"/>
      <c r="E266" s="143"/>
      <c r="F266" s="143"/>
      <c r="G266" s="143"/>
      <c r="H266" s="143"/>
      <c r="I266" s="150" t="s">
        <v>528</v>
      </c>
      <c r="J266" s="151"/>
      <c r="K266" s="151"/>
      <c r="L266" s="151"/>
      <c r="M266" s="151"/>
      <c r="N266" s="151"/>
      <c r="O266" s="151"/>
      <c r="P266" s="151"/>
      <c r="Q266" s="151"/>
      <c r="R266" s="151"/>
      <c r="S266" s="151"/>
      <c r="T266" s="151"/>
      <c r="U266" s="151"/>
      <c r="V266" s="151"/>
      <c r="W266" s="151"/>
      <c r="X266" s="151"/>
      <c r="Y266" s="151"/>
      <c r="Z266" s="151"/>
      <c r="AA266" s="151"/>
      <c r="AB266" s="151"/>
      <c r="AC266" s="151"/>
      <c r="AD266" s="151"/>
      <c r="AE266" s="151"/>
      <c r="AF266" s="151"/>
      <c r="AG266" s="151"/>
      <c r="AH266" s="151"/>
      <c r="AI266" s="151"/>
      <c r="AJ266" s="151"/>
      <c r="AK266" s="151"/>
      <c r="AL266" s="142"/>
      <c r="AM266" s="143"/>
      <c r="AN266" s="143"/>
      <c r="AO266" s="143"/>
      <c r="AP266" s="143"/>
      <c r="AQ266" s="143"/>
      <c r="AR266" s="143"/>
      <c r="AS266" s="143"/>
      <c r="AT266" s="143"/>
      <c r="AU266" s="143"/>
      <c r="AV266" s="143"/>
      <c r="AW266" s="143"/>
      <c r="AX266" s="143"/>
      <c r="AY266" s="143"/>
      <c r="AZ266" s="143"/>
      <c r="BA266" s="143"/>
      <c r="BB266" s="143"/>
      <c r="BC266" s="143"/>
      <c r="BD266" s="143"/>
      <c r="BE266" s="143"/>
      <c r="BF266" s="143"/>
      <c r="BG266" s="143"/>
      <c r="BH266" s="143"/>
      <c r="BI266" s="143"/>
      <c r="BJ266" s="143"/>
      <c r="BK266" s="143"/>
      <c r="BL266" s="143"/>
      <c r="BM266" s="143"/>
      <c r="BN266" s="143"/>
    </row>
    <row r="267" spans="1:253">
      <c r="A267" s="142" t="s">
        <v>211</v>
      </c>
      <c r="B267" s="143"/>
      <c r="C267" s="142" t="s">
        <v>327</v>
      </c>
      <c r="D267" s="143"/>
      <c r="E267" s="143"/>
      <c r="F267" s="143"/>
      <c r="G267" s="143"/>
      <c r="H267" s="143"/>
      <c r="I267" s="142" t="s">
        <v>527</v>
      </c>
      <c r="J267" s="143"/>
      <c r="K267" s="143"/>
      <c r="L267" s="143"/>
      <c r="M267" s="143"/>
      <c r="N267" s="143"/>
      <c r="O267" s="143"/>
      <c r="P267" s="143"/>
      <c r="Q267" s="143"/>
      <c r="R267" s="143"/>
      <c r="S267" s="143"/>
      <c r="T267" s="143"/>
      <c r="U267" s="143"/>
      <c r="V267" s="143"/>
      <c r="W267" s="143"/>
      <c r="X267" s="143"/>
      <c r="Y267" s="143"/>
      <c r="Z267" s="143"/>
      <c r="AA267" s="143"/>
      <c r="AB267" s="143"/>
      <c r="AC267" s="143"/>
      <c r="AD267" s="143"/>
      <c r="AE267" s="143"/>
      <c r="AF267" s="143"/>
      <c r="AG267" s="143"/>
      <c r="AH267" s="143"/>
      <c r="AI267" s="143"/>
      <c r="AJ267" s="143"/>
      <c r="AK267" s="143"/>
      <c r="AL267" s="142" t="s">
        <v>636</v>
      </c>
      <c r="AM267" s="143"/>
      <c r="AN267" s="140">
        <v>425</v>
      </c>
      <c r="AO267" s="141"/>
      <c r="AP267" s="141"/>
      <c r="AQ267" s="141"/>
      <c r="AR267" s="141"/>
      <c r="AS267" s="140">
        <v>185.5</v>
      </c>
      <c r="AT267" s="141"/>
      <c r="AU267" s="141"/>
      <c r="AV267" s="141"/>
      <c r="AW267" s="141"/>
      <c r="AX267" s="141"/>
      <c r="AY267" s="141"/>
      <c r="AZ267" s="141"/>
      <c r="BA267" s="140">
        <f>IR267*AN267+IS267*AN267</f>
        <v>78837.5</v>
      </c>
      <c r="BB267" s="141"/>
      <c r="BC267" s="141"/>
      <c r="BD267" s="141"/>
      <c r="BE267" s="141"/>
      <c r="BF267" s="141"/>
      <c r="BG267" s="141"/>
      <c r="BH267" s="141"/>
      <c r="BI267" s="142" t="s">
        <v>653</v>
      </c>
      <c r="BJ267" s="143"/>
      <c r="BK267" s="143"/>
      <c r="BL267" s="143"/>
      <c r="BM267" s="143"/>
      <c r="BN267" s="143"/>
      <c r="IR267" s="9">
        <f>AS267*0.863288409703504</f>
        <v>160.13999999999999</v>
      </c>
      <c r="IS267" s="9">
        <f>AS267*(1-0.863288409703504)</f>
        <v>25.360000000000017</v>
      </c>
    </row>
    <row r="268" spans="1:253">
      <c r="A268" s="142"/>
      <c r="B268" s="143"/>
      <c r="C268" s="143"/>
      <c r="D268" s="143"/>
      <c r="E268" s="143"/>
      <c r="F268" s="143"/>
      <c r="G268" s="143"/>
      <c r="H268" s="143"/>
      <c r="I268" s="150" t="s">
        <v>529</v>
      </c>
      <c r="J268" s="151"/>
      <c r="K268" s="151"/>
      <c r="L268" s="151"/>
      <c r="M268" s="151"/>
      <c r="N268" s="151"/>
      <c r="O268" s="151"/>
      <c r="P268" s="151"/>
      <c r="Q268" s="151"/>
      <c r="R268" s="151"/>
      <c r="S268" s="151"/>
      <c r="T268" s="151"/>
      <c r="U268" s="151"/>
      <c r="V268" s="151"/>
      <c r="W268" s="151"/>
      <c r="X268" s="151"/>
      <c r="Y268" s="151"/>
      <c r="Z268" s="151"/>
      <c r="AA268" s="151"/>
      <c r="AB268" s="151"/>
      <c r="AC268" s="151"/>
      <c r="AD268" s="151"/>
      <c r="AE268" s="151"/>
      <c r="AF268" s="151"/>
      <c r="AG268" s="151"/>
      <c r="AH268" s="151"/>
      <c r="AI268" s="151"/>
      <c r="AJ268" s="151"/>
      <c r="AK268" s="151"/>
      <c r="AL268" s="142"/>
      <c r="AM268" s="143"/>
      <c r="AN268" s="143"/>
      <c r="AO268" s="143"/>
      <c r="AP268" s="143"/>
      <c r="AQ268" s="143"/>
      <c r="AR268" s="143"/>
      <c r="AS268" s="143"/>
      <c r="AT268" s="143"/>
      <c r="AU268" s="143"/>
      <c r="AV268" s="143"/>
      <c r="AW268" s="143"/>
      <c r="AX268" s="143"/>
      <c r="AY268" s="143"/>
      <c r="AZ268" s="143"/>
      <c r="BA268" s="143"/>
      <c r="BB268" s="143"/>
      <c r="BC268" s="143"/>
      <c r="BD268" s="143"/>
      <c r="BE268" s="143"/>
      <c r="BF268" s="143"/>
      <c r="BG268" s="143"/>
      <c r="BH268" s="143"/>
      <c r="BI268" s="143"/>
      <c r="BJ268" s="143"/>
      <c r="BK268" s="143"/>
      <c r="BL268" s="143"/>
      <c r="BM268" s="143"/>
      <c r="BN268" s="143"/>
    </row>
    <row r="269" spans="1:253">
      <c r="A269" s="148" t="s">
        <v>6</v>
      </c>
      <c r="B269" s="149"/>
      <c r="C269" s="148" t="s">
        <v>63</v>
      </c>
      <c r="D269" s="149"/>
      <c r="E269" s="149"/>
      <c r="F269" s="149"/>
      <c r="G269" s="149"/>
      <c r="H269" s="149"/>
      <c r="I269" s="148" t="s">
        <v>532</v>
      </c>
      <c r="J269" s="149"/>
      <c r="K269" s="149"/>
      <c r="L269" s="149"/>
      <c r="M269" s="149"/>
      <c r="N269" s="149"/>
      <c r="O269" s="149"/>
      <c r="P269" s="149"/>
      <c r="Q269" s="149"/>
      <c r="R269" s="149"/>
      <c r="S269" s="149"/>
      <c r="T269" s="149"/>
      <c r="U269" s="149"/>
      <c r="V269" s="149"/>
      <c r="W269" s="149"/>
      <c r="X269" s="149"/>
      <c r="Y269" s="149"/>
      <c r="Z269" s="149"/>
      <c r="AA269" s="149"/>
      <c r="AB269" s="149"/>
      <c r="AC269" s="149"/>
      <c r="AD269" s="149"/>
      <c r="AE269" s="149"/>
      <c r="AF269" s="149"/>
      <c r="AG269" s="149"/>
      <c r="AH269" s="149"/>
      <c r="AI269" s="149"/>
      <c r="AJ269" s="149"/>
      <c r="AK269" s="149"/>
      <c r="AL269" s="148" t="s">
        <v>6</v>
      </c>
      <c r="AM269" s="149"/>
      <c r="AN269" s="144" t="s">
        <v>6</v>
      </c>
      <c r="AO269" s="145"/>
      <c r="AP269" s="145"/>
      <c r="AQ269" s="145"/>
      <c r="AR269" s="145"/>
      <c r="AS269" s="144" t="s">
        <v>6</v>
      </c>
      <c r="AT269" s="145"/>
      <c r="AU269" s="145"/>
      <c r="AV269" s="145"/>
      <c r="AW269" s="145"/>
      <c r="AX269" s="145"/>
      <c r="AY269" s="145"/>
      <c r="AZ269" s="145"/>
      <c r="BA269" s="152">
        <f>SUM(BA270:BA275)</f>
        <v>405942.435</v>
      </c>
      <c r="BB269" s="145"/>
      <c r="BC269" s="145"/>
      <c r="BD269" s="145"/>
      <c r="BE269" s="145"/>
      <c r="BF269" s="145"/>
      <c r="BG269" s="145"/>
      <c r="BH269" s="145"/>
      <c r="BI269" s="148" t="s">
        <v>6</v>
      </c>
      <c r="BJ269" s="149"/>
      <c r="BK269" s="149"/>
      <c r="BL269" s="149"/>
      <c r="BM269" s="149"/>
      <c r="BN269" s="149"/>
    </row>
    <row r="270" spans="1:253">
      <c r="A270" s="142" t="s">
        <v>212</v>
      </c>
      <c r="B270" s="143"/>
      <c r="C270" s="142" t="s">
        <v>330</v>
      </c>
      <c r="D270" s="143"/>
      <c r="E270" s="143"/>
      <c r="F270" s="143"/>
      <c r="G270" s="143"/>
      <c r="H270" s="143"/>
      <c r="I270" s="142" t="s">
        <v>533</v>
      </c>
      <c r="J270" s="143"/>
      <c r="K270" s="143"/>
      <c r="L270" s="143"/>
      <c r="M270" s="143"/>
      <c r="N270" s="143"/>
      <c r="O270" s="143"/>
      <c r="P270" s="143"/>
      <c r="Q270" s="143"/>
      <c r="R270" s="143"/>
      <c r="S270" s="143"/>
      <c r="T270" s="143"/>
      <c r="U270" s="143"/>
      <c r="V270" s="143"/>
      <c r="W270" s="143"/>
      <c r="X270" s="143"/>
      <c r="Y270" s="143"/>
      <c r="Z270" s="143"/>
      <c r="AA270" s="143"/>
      <c r="AB270" s="143"/>
      <c r="AC270" s="143"/>
      <c r="AD270" s="143"/>
      <c r="AE270" s="143"/>
      <c r="AF270" s="143"/>
      <c r="AG270" s="143"/>
      <c r="AH270" s="143"/>
      <c r="AI270" s="143"/>
      <c r="AJ270" s="143"/>
      <c r="AK270" s="143"/>
      <c r="AL270" s="142" t="s">
        <v>636</v>
      </c>
      <c r="AM270" s="143"/>
      <c r="AN270" s="140">
        <v>391.5</v>
      </c>
      <c r="AO270" s="141"/>
      <c r="AP270" s="141"/>
      <c r="AQ270" s="141"/>
      <c r="AR270" s="141"/>
      <c r="AS270" s="140">
        <v>338.99</v>
      </c>
      <c r="AT270" s="141"/>
      <c r="AU270" s="141"/>
      <c r="AV270" s="141"/>
      <c r="AW270" s="141"/>
      <c r="AX270" s="141"/>
      <c r="AY270" s="141"/>
      <c r="AZ270" s="141"/>
      <c r="BA270" s="140">
        <f>IR270*AN270+IS270*AN270</f>
        <v>132714.58499999999</v>
      </c>
      <c r="BB270" s="141"/>
      <c r="BC270" s="141"/>
      <c r="BD270" s="141"/>
      <c r="BE270" s="141"/>
      <c r="BF270" s="141"/>
      <c r="BG270" s="141"/>
      <c r="BH270" s="141"/>
      <c r="BI270" s="142" t="s">
        <v>653</v>
      </c>
      <c r="BJ270" s="143"/>
      <c r="BK270" s="143"/>
      <c r="BL270" s="143"/>
      <c r="BM270" s="143"/>
      <c r="BN270" s="143"/>
      <c r="IR270" s="9">
        <f>AS270*0.626095165049117</f>
        <v>212.24000000000018</v>
      </c>
      <c r="IS270" s="9">
        <f>AS270*(1-0.626095165049117)</f>
        <v>126.74999999999983</v>
      </c>
    </row>
    <row r="271" spans="1:253">
      <c r="A271" s="142"/>
      <c r="B271" s="143"/>
      <c r="C271" s="143"/>
      <c r="D271" s="143"/>
      <c r="E271" s="143"/>
      <c r="F271" s="143"/>
      <c r="G271" s="143"/>
      <c r="H271" s="143"/>
      <c r="I271" s="150" t="s">
        <v>534</v>
      </c>
      <c r="J271" s="151"/>
      <c r="K271" s="151"/>
      <c r="L271" s="151"/>
      <c r="M271" s="151"/>
      <c r="N271" s="151"/>
      <c r="O271" s="151"/>
      <c r="P271" s="151"/>
      <c r="Q271" s="151"/>
      <c r="R271" s="151"/>
      <c r="S271" s="151"/>
      <c r="T271" s="151"/>
      <c r="U271" s="151"/>
      <c r="V271" s="151"/>
      <c r="W271" s="151"/>
      <c r="X271" s="151"/>
      <c r="Y271" s="151"/>
      <c r="Z271" s="151"/>
      <c r="AA271" s="151"/>
      <c r="AB271" s="151"/>
      <c r="AC271" s="151"/>
      <c r="AD271" s="151"/>
      <c r="AE271" s="151"/>
      <c r="AF271" s="151"/>
      <c r="AG271" s="151"/>
      <c r="AH271" s="151"/>
      <c r="AI271" s="151"/>
      <c r="AJ271" s="151"/>
      <c r="AK271" s="151"/>
      <c r="AL271" s="142"/>
      <c r="AM271" s="143"/>
      <c r="AN271" s="143"/>
      <c r="AO271" s="143"/>
      <c r="AP271" s="143"/>
      <c r="AQ271" s="143"/>
      <c r="AR271" s="143"/>
      <c r="AS271" s="143"/>
      <c r="AT271" s="143"/>
      <c r="AU271" s="143"/>
      <c r="AV271" s="143"/>
      <c r="AW271" s="143"/>
      <c r="AX271" s="143"/>
      <c r="AY271" s="143"/>
      <c r="AZ271" s="143"/>
      <c r="BA271" s="143"/>
      <c r="BB271" s="143"/>
      <c r="BC271" s="143"/>
      <c r="BD271" s="143"/>
      <c r="BE271" s="143"/>
      <c r="BF271" s="143"/>
      <c r="BG271" s="143"/>
      <c r="BH271" s="143"/>
      <c r="BI271" s="143"/>
      <c r="BJ271" s="143"/>
      <c r="BK271" s="143"/>
      <c r="BL271" s="143"/>
      <c r="BM271" s="143"/>
      <c r="BN271" s="143"/>
    </row>
    <row r="272" spans="1:253">
      <c r="A272" s="142" t="s">
        <v>213</v>
      </c>
      <c r="B272" s="143"/>
      <c r="C272" s="142" t="s">
        <v>331</v>
      </c>
      <c r="D272" s="143"/>
      <c r="E272" s="143"/>
      <c r="F272" s="143"/>
      <c r="G272" s="143"/>
      <c r="H272" s="143"/>
      <c r="I272" s="142" t="s">
        <v>535</v>
      </c>
      <c r="J272" s="143"/>
      <c r="K272" s="143"/>
      <c r="L272" s="143"/>
      <c r="M272" s="143"/>
      <c r="N272" s="143"/>
      <c r="O272" s="143"/>
      <c r="P272" s="143"/>
      <c r="Q272" s="143"/>
      <c r="R272" s="143"/>
      <c r="S272" s="143"/>
      <c r="T272" s="143"/>
      <c r="U272" s="143"/>
      <c r="V272" s="143"/>
      <c r="W272" s="143"/>
      <c r="X272" s="143"/>
      <c r="Y272" s="143"/>
      <c r="Z272" s="143"/>
      <c r="AA272" s="143"/>
      <c r="AB272" s="143"/>
      <c r="AC272" s="143"/>
      <c r="AD272" s="143"/>
      <c r="AE272" s="143"/>
      <c r="AF272" s="143"/>
      <c r="AG272" s="143"/>
      <c r="AH272" s="143"/>
      <c r="AI272" s="143"/>
      <c r="AJ272" s="143"/>
      <c r="AK272" s="143"/>
      <c r="AL272" s="142" t="s">
        <v>636</v>
      </c>
      <c r="AM272" s="143"/>
      <c r="AN272" s="140">
        <v>391.5</v>
      </c>
      <c r="AO272" s="141"/>
      <c r="AP272" s="141"/>
      <c r="AQ272" s="141"/>
      <c r="AR272" s="141"/>
      <c r="AS272" s="140">
        <v>13.51</v>
      </c>
      <c r="AT272" s="141"/>
      <c r="AU272" s="141"/>
      <c r="AV272" s="141"/>
      <c r="AW272" s="141"/>
      <c r="AX272" s="141"/>
      <c r="AY272" s="141"/>
      <c r="AZ272" s="141"/>
      <c r="BA272" s="140">
        <f>IR272*AN272+IS272*AN272</f>
        <v>5289.165</v>
      </c>
      <c r="BB272" s="141"/>
      <c r="BC272" s="141"/>
      <c r="BD272" s="141"/>
      <c r="BE272" s="141"/>
      <c r="BF272" s="141"/>
      <c r="BG272" s="141"/>
      <c r="BH272" s="141"/>
      <c r="BI272" s="142" t="s">
        <v>653</v>
      </c>
      <c r="BJ272" s="143"/>
      <c r="BK272" s="143"/>
      <c r="BL272" s="143"/>
      <c r="BM272" s="143"/>
      <c r="BN272" s="143"/>
      <c r="IR272" s="9">
        <f>AS272*0.919319022945966</f>
        <v>12.42</v>
      </c>
      <c r="IS272" s="9">
        <f>AS272*(1-0.919319022945966)</f>
        <v>1.0899999999999992</v>
      </c>
    </row>
    <row r="273" spans="1:253">
      <c r="A273" s="142" t="s">
        <v>214</v>
      </c>
      <c r="B273" s="143"/>
      <c r="C273" s="142" t="s">
        <v>332</v>
      </c>
      <c r="D273" s="143"/>
      <c r="E273" s="143"/>
      <c r="F273" s="143"/>
      <c r="G273" s="143"/>
      <c r="H273" s="143"/>
      <c r="I273" s="142" t="s">
        <v>536</v>
      </c>
      <c r="J273" s="143"/>
      <c r="K273" s="143"/>
      <c r="L273" s="143"/>
      <c r="M273" s="143"/>
      <c r="N273" s="143"/>
      <c r="O273" s="143"/>
      <c r="P273" s="143"/>
      <c r="Q273" s="143"/>
      <c r="R273" s="143"/>
      <c r="S273" s="143"/>
      <c r="T273" s="143"/>
      <c r="U273" s="143"/>
      <c r="V273" s="143"/>
      <c r="W273" s="143"/>
      <c r="X273" s="143"/>
      <c r="Y273" s="143"/>
      <c r="Z273" s="143"/>
      <c r="AA273" s="143"/>
      <c r="AB273" s="143"/>
      <c r="AC273" s="143"/>
      <c r="AD273" s="143"/>
      <c r="AE273" s="143"/>
      <c r="AF273" s="143"/>
      <c r="AG273" s="143"/>
      <c r="AH273" s="143"/>
      <c r="AI273" s="143"/>
      <c r="AJ273" s="143"/>
      <c r="AK273" s="143"/>
      <c r="AL273" s="142" t="s">
        <v>636</v>
      </c>
      <c r="AM273" s="143"/>
      <c r="AN273" s="140">
        <v>391.5</v>
      </c>
      <c r="AO273" s="141"/>
      <c r="AP273" s="141"/>
      <c r="AQ273" s="141"/>
      <c r="AR273" s="141"/>
      <c r="AS273" s="140">
        <v>665.99</v>
      </c>
      <c r="AT273" s="141"/>
      <c r="AU273" s="141"/>
      <c r="AV273" s="141"/>
      <c r="AW273" s="141"/>
      <c r="AX273" s="141"/>
      <c r="AY273" s="141"/>
      <c r="AZ273" s="141"/>
      <c r="BA273" s="140">
        <f>IR273*AN273+IS273*AN273</f>
        <v>260735.08500000002</v>
      </c>
      <c r="BB273" s="141"/>
      <c r="BC273" s="141"/>
      <c r="BD273" s="141"/>
      <c r="BE273" s="141"/>
      <c r="BF273" s="141"/>
      <c r="BG273" s="141"/>
      <c r="BH273" s="141"/>
      <c r="BI273" s="142" t="s">
        <v>653</v>
      </c>
      <c r="BJ273" s="143"/>
      <c r="BK273" s="143"/>
      <c r="BL273" s="143"/>
      <c r="BM273" s="143"/>
      <c r="BN273" s="143"/>
      <c r="IR273" s="9">
        <f>AS273*0.655820657967837</f>
        <v>436.76999999999975</v>
      </c>
      <c r="IS273" s="9">
        <f>AS273*(1-0.655820657967837)</f>
        <v>229.22000000000028</v>
      </c>
    </row>
    <row r="274" spans="1:253">
      <c r="A274" s="142"/>
      <c r="B274" s="143"/>
      <c r="C274" s="143"/>
      <c r="D274" s="143"/>
      <c r="E274" s="143"/>
      <c r="F274" s="143"/>
      <c r="G274" s="143"/>
      <c r="H274" s="143"/>
      <c r="I274" s="150" t="s">
        <v>534</v>
      </c>
      <c r="J274" s="151"/>
      <c r="K274" s="151"/>
      <c r="L274" s="151"/>
      <c r="M274" s="151"/>
      <c r="N274" s="151"/>
      <c r="O274" s="151"/>
      <c r="P274" s="151"/>
      <c r="Q274" s="151"/>
      <c r="R274" s="151"/>
      <c r="S274" s="151"/>
      <c r="T274" s="151"/>
      <c r="U274" s="151"/>
      <c r="V274" s="151"/>
      <c r="W274" s="151"/>
      <c r="X274" s="151"/>
      <c r="Y274" s="151"/>
      <c r="Z274" s="151"/>
      <c r="AA274" s="151"/>
      <c r="AB274" s="151"/>
      <c r="AC274" s="151"/>
      <c r="AD274" s="151"/>
      <c r="AE274" s="151"/>
      <c r="AF274" s="151"/>
      <c r="AG274" s="151"/>
      <c r="AH274" s="151"/>
      <c r="AI274" s="151"/>
      <c r="AJ274" s="151"/>
      <c r="AK274" s="151"/>
      <c r="AL274" s="142"/>
      <c r="AM274" s="143"/>
      <c r="AN274" s="143"/>
      <c r="AO274" s="143"/>
      <c r="AP274" s="143"/>
      <c r="AQ274" s="143"/>
      <c r="AR274" s="143"/>
      <c r="AS274" s="143"/>
      <c r="AT274" s="143"/>
      <c r="AU274" s="143"/>
      <c r="AV274" s="143"/>
      <c r="AW274" s="143"/>
      <c r="AX274" s="143"/>
      <c r="AY274" s="143"/>
      <c r="AZ274" s="143"/>
      <c r="BA274" s="143"/>
      <c r="BB274" s="143"/>
      <c r="BC274" s="143"/>
      <c r="BD274" s="143"/>
      <c r="BE274" s="143"/>
      <c r="BF274" s="143"/>
      <c r="BG274" s="143"/>
      <c r="BH274" s="143"/>
      <c r="BI274" s="143"/>
      <c r="BJ274" s="143"/>
      <c r="BK274" s="143"/>
      <c r="BL274" s="143"/>
      <c r="BM274" s="143"/>
      <c r="BN274" s="143"/>
    </row>
    <row r="275" spans="1:253">
      <c r="A275" s="142" t="s">
        <v>215</v>
      </c>
      <c r="B275" s="143"/>
      <c r="C275" s="142" t="s">
        <v>333</v>
      </c>
      <c r="D275" s="143"/>
      <c r="E275" s="143"/>
      <c r="F275" s="143"/>
      <c r="G275" s="143"/>
      <c r="H275" s="143"/>
      <c r="I275" s="142" t="s">
        <v>537</v>
      </c>
      <c r="J275" s="143"/>
      <c r="K275" s="143"/>
      <c r="L275" s="143"/>
      <c r="M275" s="143"/>
      <c r="N275" s="143"/>
      <c r="O275" s="143"/>
      <c r="P275" s="143"/>
      <c r="Q275" s="143"/>
      <c r="R275" s="143"/>
      <c r="S275" s="143"/>
      <c r="T275" s="143"/>
      <c r="U275" s="143"/>
      <c r="V275" s="143"/>
      <c r="W275" s="143"/>
      <c r="X275" s="143"/>
      <c r="Y275" s="143"/>
      <c r="Z275" s="143"/>
      <c r="AA275" s="143"/>
      <c r="AB275" s="143"/>
      <c r="AC275" s="143"/>
      <c r="AD275" s="143"/>
      <c r="AE275" s="143"/>
      <c r="AF275" s="143"/>
      <c r="AG275" s="143"/>
      <c r="AH275" s="143"/>
      <c r="AI275" s="143"/>
      <c r="AJ275" s="143"/>
      <c r="AK275" s="143"/>
      <c r="AL275" s="142" t="s">
        <v>636</v>
      </c>
      <c r="AM275" s="143"/>
      <c r="AN275" s="140">
        <v>391.5</v>
      </c>
      <c r="AO275" s="141"/>
      <c r="AP275" s="141"/>
      <c r="AQ275" s="141"/>
      <c r="AR275" s="141"/>
      <c r="AS275" s="140">
        <v>18.399999999999999</v>
      </c>
      <c r="AT275" s="141"/>
      <c r="AU275" s="141"/>
      <c r="AV275" s="141"/>
      <c r="AW275" s="141"/>
      <c r="AX275" s="141"/>
      <c r="AY275" s="141"/>
      <c r="AZ275" s="141"/>
      <c r="BA275" s="140">
        <f>IR275*AN275+IS275*AN275</f>
        <v>7203.6</v>
      </c>
      <c r="BB275" s="141"/>
      <c r="BC275" s="141"/>
      <c r="BD275" s="141"/>
      <c r="BE275" s="141"/>
      <c r="BF275" s="141"/>
      <c r="BG275" s="141"/>
      <c r="BH275" s="141"/>
      <c r="BI275" s="142" t="s">
        <v>653</v>
      </c>
      <c r="BJ275" s="143"/>
      <c r="BK275" s="143"/>
      <c r="BL275" s="143"/>
      <c r="BM275" s="143"/>
      <c r="BN275" s="143"/>
      <c r="IR275" s="9">
        <f>AS275*0.335326086956522</f>
        <v>6.1700000000000044</v>
      </c>
      <c r="IS275" s="9">
        <f>AS275*(1-0.335326086956522)</f>
        <v>12.229999999999995</v>
      </c>
    </row>
    <row r="276" spans="1:253">
      <c r="A276" s="148" t="s">
        <v>6</v>
      </c>
      <c r="B276" s="149"/>
      <c r="C276" s="148" t="s">
        <v>97</v>
      </c>
      <c r="D276" s="149"/>
      <c r="E276" s="149"/>
      <c r="F276" s="149"/>
      <c r="G276" s="149"/>
      <c r="H276" s="149"/>
      <c r="I276" s="148" t="s">
        <v>607</v>
      </c>
      <c r="J276" s="149"/>
      <c r="K276" s="149"/>
      <c r="L276" s="149"/>
      <c r="M276" s="149"/>
      <c r="N276" s="149"/>
      <c r="O276" s="149"/>
      <c r="P276" s="149"/>
      <c r="Q276" s="149"/>
      <c r="R276" s="149"/>
      <c r="S276" s="149"/>
      <c r="T276" s="149"/>
      <c r="U276" s="149"/>
      <c r="V276" s="149"/>
      <c r="W276" s="149"/>
      <c r="X276" s="149"/>
      <c r="Y276" s="149"/>
      <c r="Z276" s="149"/>
      <c r="AA276" s="149"/>
      <c r="AB276" s="149"/>
      <c r="AC276" s="149"/>
      <c r="AD276" s="149"/>
      <c r="AE276" s="149"/>
      <c r="AF276" s="149"/>
      <c r="AG276" s="149"/>
      <c r="AH276" s="149"/>
      <c r="AI276" s="149"/>
      <c r="AJ276" s="149"/>
      <c r="AK276" s="149"/>
      <c r="AL276" s="148" t="s">
        <v>6</v>
      </c>
      <c r="AM276" s="149"/>
      <c r="AN276" s="144" t="s">
        <v>6</v>
      </c>
      <c r="AO276" s="145"/>
      <c r="AP276" s="145"/>
      <c r="AQ276" s="145"/>
      <c r="AR276" s="145"/>
      <c r="AS276" s="144" t="s">
        <v>6</v>
      </c>
      <c r="AT276" s="145"/>
      <c r="AU276" s="145"/>
      <c r="AV276" s="145"/>
      <c r="AW276" s="145"/>
      <c r="AX276" s="145"/>
      <c r="AY276" s="145"/>
      <c r="AZ276" s="145"/>
      <c r="BA276" s="152">
        <f>SUM(BA277:BA277)</f>
        <v>29180.75</v>
      </c>
      <c r="BB276" s="145"/>
      <c r="BC276" s="145"/>
      <c r="BD276" s="145"/>
      <c r="BE276" s="145"/>
      <c r="BF276" s="145"/>
      <c r="BG276" s="145"/>
      <c r="BH276" s="145"/>
      <c r="BI276" s="148" t="s">
        <v>6</v>
      </c>
      <c r="BJ276" s="149"/>
      <c r="BK276" s="149"/>
      <c r="BL276" s="149"/>
      <c r="BM276" s="149"/>
      <c r="BN276" s="149"/>
    </row>
    <row r="277" spans="1:253">
      <c r="A277" s="142" t="s">
        <v>216</v>
      </c>
      <c r="B277" s="143"/>
      <c r="C277" s="142" t="s">
        <v>394</v>
      </c>
      <c r="D277" s="143"/>
      <c r="E277" s="143"/>
      <c r="F277" s="143"/>
      <c r="G277" s="143"/>
      <c r="H277" s="143"/>
      <c r="I277" s="142" t="s">
        <v>608</v>
      </c>
      <c r="J277" s="143"/>
      <c r="K277" s="143"/>
      <c r="L277" s="143"/>
      <c r="M277" s="143"/>
      <c r="N277" s="143"/>
      <c r="O277" s="143"/>
      <c r="P277" s="143"/>
      <c r="Q277" s="143"/>
      <c r="R277" s="143"/>
      <c r="S277" s="143"/>
      <c r="T277" s="143"/>
      <c r="U277" s="143"/>
      <c r="V277" s="143"/>
      <c r="W277" s="143"/>
      <c r="X277" s="143"/>
      <c r="Y277" s="143"/>
      <c r="Z277" s="143"/>
      <c r="AA277" s="143"/>
      <c r="AB277" s="143"/>
      <c r="AC277" s="143"/>
      <c r="AD277" s="143"/>
      <c r="AE277" s="143"/>
      <c r="AF277" s="143"/>
      <c r="AG277" s="143"/>
      <c r="AH277" s="143"/>
      <c r="AI277" s="143"/>
      <c r="AJ277" s="143"/>
      <c r="AK277" s="143"/>
      <c r="AL277" s="142" t="s">
        <v>635</v>
      </c>
      <c r="AM277" s="143"/>
      <c r="AN277" s="140">
        <v>75.5</v>
      </c>
      <c r="AO277" s="141"/>
      <c r="AP277" s="141"/>
      <c r="AQ277" s="141"/>
      <c r="AR277" s="141"/>
      <c r="AS277" s="140">
        <v>386.5</v>
      </c>
      <c r="AT277" s="141"/>
      <c r="AU277" s="141"/>
      <c r="AV277" s="141"/>
      <c r="AW277" s="141"/>
      <c r="AX277" s="141"/>
      <c r="AY277" s="141"/>
      <c r="AZ277" s="141"/>
      <c r="BA277" s="140">
        <f>IR277*AN277+IS277*AN277</f>
        <v>29180.75</v>
      </c>
      <c r="BB277" s="141"/>
      <c r="BC277" s="141"/>
      <c r="BD277" s="141"/>
      <c r="BE277" s="141"/>
      <c r="BF277" s="141"/>
      <c r="BG277" s="141"/>
      <c r="BH277" s="141"/>
      <c r="BI277" s="142" t="s">
        <v>653</v>
      </c>
      <c r="BJ277" s="143"/>
      <c r="BK277" s="143"/>
      <c r="BL277" s="143"/>
      <c r="BM277" s="143"/>
      <c r="BN277" s="143"/>
      <c r="IR277" s="9">
        <f>AS277*0.682069857697283</f>
        <v>263.61999999999989</v>
      </c>
      <c r="IS277" s="9">
        <f>AS277*(1-0.682069857697283)</f>
        <v>122.88000000000012</v>
      </c>
    </row>
    <row r="278" spans="1:253">
      <c r="A278" s="142"/>
      <c r="B278" s="143"/>
      <c r="C278" s="143"/>
      <c r="D278" s="143"/>
      <c r="E278" s="143"/>
      <c r="F278" s="143"/>
      <c r="G278" s="143"/>
      <c r="H278" s="143"/>
      <c r="I278" s="150" t="s">
        <v>609</v>
      </c>
      <c r="J278" s="151"/>
      <c r="K278" s="151"/>
      <c r="L278" s="151"/>
      <c r="M278" s="151"/>
      <c r="N278" s="151"/>
      <c r="O278" s="151"/>
      <c r="P278" s="151"/>
      <c r="Q278" s="151"/>
      <c r="R278" s="151"/>
      <c r="S278" s="151"/>
      <c r="T278" s="151"/>
      <c r="U278" s="151"/>
      <c r="V278" s="151"/>
      <c r="W278" s="151"/>
      <c r="X278" s="151"/>
      <c r="Y278" s="151"/>
      <c r="Z278" s="151"/>
      <c r="AA278" s="151"/>
      <c r="AB278" s="151"/>
      <c r="AC278" s="151"/>
      <c r="AD278" s="151"/>
      <c r="AE278" s="151"/>
      <c r="AF278" s="151"/>
      <c r="AG278" s="151"/>
      <c r="AH278" s="151"/>
      <c r="AI278" s="151"/>
      <c r="AJ278" s="151"/>
      <c r="AK278" s="151"/>
      <c r="AL278" s="142"/>
      <c r="AM278" s="143"/>
      <c r="AN278" s="143"/>
      <c r="AO278" s="143"/>
      <c r="AP278" s="143"/>
      <c r="AQ278" s="143"/>
      <c r="AR278" s="143"/>
      <c r="AS278" s="143"/>
      <c r="AT278" s="143"/>
      <c r="AU278" s="143"/>
      <c r="AV278" s="143"/>
      <c r="AW278" s="143"/>
      <c r="AX278" s="143"/>
      <c r="AY278" s="143"/>
      <c r="AZ278" s="143"/>
      <c r="BA278" s="143"/>
      <c r="BB278" s="143"/>
      <c r="BC278" s="143"/>
      <c r="BD278" s="143"/>
      <c r="BE278" s="143"/>
      <c r="BF278" s="143"/>
      <c r="BG278" s="143"/>
      <c r="BH278" s="143"/>
      <c r="BI278" s="143"/>
      <c r="BJ278" s="143"/>
      <c r="BK278" s="143"/>
      <c r="BL278" s="143"/>
      <c r="BM278" s="143"/>
      <c r="BN278" s="143"/>
    </row>
    <row r="279" spans="1:253">
      <c r="A279" s="148" t="s">
        <v>6</v>
      </c>
      <c r="B279" s="149"/>
      <c r="C279" s="148" t="s">
        <v>398</v>
      </c>
      <c r="D279" s="149"/>
      <c r="E279" s="149"/>
      <c r="F279" s="149"/>
      <c r="G279" s="149"/>
      <c r="H279" s="149"/>
      <c r="I279" s="148" t="s">
        <v>615</v>
      </c>
      <c r="J279" s="149"/>
      <c r="K279" s="149"/>
      <c r="L279" s="149"/>
      <c r="M279" s="149"/>
      <c r="N279" s="149"/>
      <c r="O279" s="149"/>
      <c r="P279" s="149"/>
      <c r="Q279" s="149"/>
      <c r="R279" s="149"/>
      <c r="S279" s="149"/>
      <c r="T279" s="149"/>
      <c r="U279" s="149"/>
      <c r="V279" s="149"/>
      <c r="W279" s="149"/>
      <c r="X279" s="149"/>
      <c r="Y279" s="149"/>
      <c r="Z279" s="149"/>
      <c r="AA279" s="149"/>
      <c r="AB279" s="149"/>
      <c r="AC279" s="149"/>
      <c r="AD279" s="149"/>
      <c r="AE279" s="149"/>
      <c r="AF279" s="149"/>
      <c r="AG279" s="149"/>
      <c r="AH279" s="149"/>
      <c r="AI279" s="149"/>
      <c r="AJ279" s="149"/>
      <c r="AK279" s="149"/>
      <c r="AL279" s="148" t="s">
        <v>6</v>
      </c>
      <c r="AM279" s="149"/>
      <c r="AN279" s="144" t="s">
        <v>6</v>
      </c>
      <c r="AO279" s="145"/>
      <c r="AP279" s="145"/>
      <c r="AQ279" s="145"/>
      <c r="AR279" s="145"/>
      <c r="AS279" s="144" t="s">
        <v>6</v>
      </c>
      <c r="AT279" s="145"/>
      <c r="AU279" s="145"/>
      <c r="AV279" s="145"/>
      <c r="AW279" s="145"/>
      <c r="AX279" s="145"/>
      <c r="AY279" s="145"/>
      <c r="AZ279" s="145"/>
      <c r="BA279" s="152">
        <f>SUM(BA280:BA280)</f>
        <v>26739.649104000004</v>
      </c>
      <c r="BB279" s="145"/>
      <c r="BC279" s="145"/>
      <c r="BD279" s="145"/>
      <c r="BE279" s="145"/>
      <c r="BF279" s="145"/>
      <c r="BG279" s="145"/>
      <c r="BH279" s="145"/>
      <c r="BI279" s="148" t="s">
        <v>6</v>
      </c>
      <c r="BJ279" s="149"/>
      <c r="BK279" s="149"/>
      <c r="BL279" s="149"/>
      <c r="BM279" s="149"/>
      <c r="BN279" s="149"/>
    </row>
    <row r="280" spans="1:253">
      <c r="A280" s="142" t="s">
        <v>217</v>
      </c>
      <c r="B280" s="143"/>
      <c r="C280" s="142" t="s">
        <v>399</v>
      </c>
      <c r="D280" s="143"/>
      <c r="E280" s="143"/>
      <c r="F280" s="143"/>
      <c r="G280" s="143"/>
      <c r="H280" s="143"/>
      <c r="I280" s="142" t="s">
        <v>616</v>
      </c>
      <c r="J280" s="143"/>
      <c r="K280" s="143"/>
      <c r="L280" s="143"/>
      <c r="M280" s="143"/>
      <c r="N280" s="143"/>
      <c r="O280" s="143"/>
      <c r="P280" s="143"/>
      <c r="Q280" s="143"/>
      <c r="R280" s="143"/>
      <c r="S280" s="143"/>
      <c r="T280" s="143"/>
      <c r="U280" s="143"/>
      <c r="V280" s="143"/>
      <c r="W280" s="143"/>
      <c r="X280" s="143"/>
      <c r="Y280" s="143"/>
      <c r="Z280" s="143"/>
      <c r="AA280" s="143"/>
      <c r="AB280" s="143"/>
      <c r="AC280" s="143"/>
      <c r="AD280" s="143"/>
      <c r="AE280" s="143"/>
      <c r="AF280" s="143"/>
      <c r="AG280" s="143"/>
      <c r="AH280" s="143"/>
      <c r="AI280" s="143"/>
      <c r="AJ280" s="143"/>
      <c r="AK280" s="143"/>
      <c r="AL280" s="142" t="s">
        <v>639</v>
      </c>
      <c r="AM280" s="143"/>
      <c r="AN280" s="140">
        <v>447.90032000000002</v>
      </c>
      <c r="AO280" s="141"/>
      <c r="AP280" s="141"/>
      <c r="AQ280" s="141"/>
      <c r="AR280" s="141"/>
      <c r="AS280" s="140">
        <v>59.7</v>
      </c>
      <c r="AT280" s="141"/>
      <c r="AU280" s="141"/>
      <c r="AV280" s="141"/>
      <c r="AW280" s="141"/>
      <c r="AX280" s="141"/>
      <c r="AY280" s="141"/>
      <c r="AZ280" s="141"/>
      <c r="BA280" s="140">
        <f>IR280*AN280+IS280*AN280</f>
        <v>26739.649104000004</v>
      </c>
      <c r="BB280" s="141"/>
      <c r="BC280" s="141"/>
      <c r="BD280" s="141"/>
      <c r="BE280" s="141"/>
      <c r="BF280" s="141"/>
      <c r="BG280" s="141"/>
      <c r="BH280" s="141"/>
      <c r="BI280" s="142" t="s">
        <v>653</v>
      </c>
      <c r="BJ280" s="143"/>
      <c r="BK280" s="143"/>
      <c r="BL280" s="143"/>
      <c r="BM280" s="143"/>
      <c r="BN280" s="143"/>
      <c r="IR280" s="9">
        <f>AS280*0</f>
        <v>0</v>
      </c>
      <c r="IS280" s="9">
        <f>AS280*(1-0)</f>
        <v>59.7</v>
      </c>
    </row>
    <row r="281" spans="1:253">
      <c r="A281" s="148" t="s">
        <v>6</v>
      </c>
      <c r="B281" s="149"/>
      <c r="C281" s="148" t="s">
        <v>407</v>
      </c>
      <c r="D281" s="149"/>
      <c r="E281" s="149"/>
      <c r="F281" s="149"/>
      <c r="G281" s="149"/>
      <c r="H281" s="149"/>
      <c r="I281" s="148" t="s">
        <v>626</v>
      </c>
      <c r="J281" s="149"/>
      <c r="K281" s="149"/>
      <c r="L281" s="149"/>
      <c r="M281" s="149"/>
      <c r="N281" s="149"/>
      <c r="O281" s="149"/>
      <c r="P281" s="149"/>
      <c r="Q281" s="149"/>
      <c r="R281" s="149"/>
      <c r="S281" s="149"/>
      <c r="T281" s="149"/>
      <c r="U281" s="149"/>
      <c r="V281" s="149"/>
      <c r="W281" s="149"/>
      <c r="X281" s="149"/>
      <c r="Y281" s="149"/>
      <c r="Z281" s="149"/>
      <c r="AA281" s="149"/>
      <c r="AB281" s="149"/>
      <c r="AC281" s="149"/>
      <c r="AD281" s="149"/>
      <c r="AE281" s="149"/>
      <c r="AF281" s="149"/>
      <c r="AG281" s="149"/>
      <c r="AH281" s="149"/>
      <c r="AI281" s="149"/>
      <c r="AJ281" s="149"/>
      <c r="AK281" s="149"/>
      <c r="AL281" s="148" t="s">
        <v>6</v>
      </c>
      <c r="AM281" s="149"/>
      <c r="AN281" s="144" t="s">
        <v>6</v>
      </c>
      <c r="AO281" s="145"/>
      <c r="AP281" s="145"/>
      <c r="AQ281" s="145"/>
      <c r="AR281" s="145"/>
      <c r="AS281" s="144" t="s">
        <v>6</v>
      </c>
      <c r="AT281" s="145"/>
      <c r="AU281" s="145"/>
      <c r="AV281" s="145"/>
      <c r="AW281" s="145"/>
      <c r="AX281" s="145"/>
      <c r="AY281" s="145"/>
      <c r="AZ281" s="145"/>
      <c r="BA281" s="152">
        <f>SUM(BA282:BA282)</f>
        <v>629.84999999999991</v>
      </c>
      <c r="BB281" s="145"/>
      <c r="BC281" s="145"/>
      <c r="BD281" s="145"/>
      <c r="BE281" s="145"/>
      <c r="BF281" s="145"/>
      <c r="BG281" s="145"/>
      <c r="BH281" s="145"/>
      <c r="BI281" s="148" t="s">
        <v>6</v>
      </c>
      <c r="BJ281" s="149"/>
      <c r="BK281" s="149"/>
      <c r="BL281" s="149"/>
      <c r="BM281" s="149"/>
      <c r="BN281" s="149"/>
    </row>
    <row r="282" spans="1:253">
      <c r="A282" s="142" t="s">
        <v>218</v>
      </c>
      <c r="B282" s="143"/>
      <c r="C282" s="142" t="s">
        <v>408</v>
      </c>
      <c r="D282" s="143"/>
      <c r="E282" s="143"/>
      <c r="F282" s="143"/>
      <c r="G282" s="143"/>
      <c r="H282" s="143"/>
      <c r="I282" s="142" t="s">
        <v>627</v>
      </c>
      <c r="J282" s="143"/>
      <c r="K282" s="143"/>
      <c r="L282" s="143"/>
      <c r="M282" s="143"/>
      <c r="N282" s="143"/>
      <c r="O282" s="143"/>
      <c r="P282" s="143"/>
      <c r="Q282" s="143"/>
      <c r="R282" s="143"/>
      <c r="S282" s="143"/>
      <c r="T282" s="143"/>
      <c r="U282" s="143"/>
      <c r="V282" s="143"/>
      <c r="W282" s="143"/>
      <c r="X282" s="143"/>
      <c r="Y282" s="143"/>
      <c r="Z282" s="143"/>
      <c r="AA282" s="143"/>
      <c r="AB282" s="143"/>
      <c r="AC282" s="143"/>
      <c r="AD282" s="143"/>
      <c r="AE282" s="143"/>
      <c r="AF282" s="143"/>
      <c r="AG282" s="143"/>
      <c r="AH282" s="143"/>
      <c r="AI282" s="143"/>
      <c r="AJ282" s="143"/>
      <c r="AK282" s="143"/>
      <c r="AL282" s="142" t="s">
        <v>635</v>
      </c>
      <c r="AM282" s="143"/>
      <c r="AN282" s="140">
        <v>5.0999999999999996</v>
      </c>
      <c r="AO282" s="141"/>
      <c r="AP282" s="141"/>
      <c r="AQ282" s="141"/>
      <c r="AR282" s="141"/>
      <c r="AS282" s="140">
        <v>123.5</v>
      </c>
      <c r="AT282" s="141"/>
      <c r="AU282" s="141"/>
      <c r="AV282" s="141"/>
      <c r="AW282" s="141"/>
      <c r="AX282" s="141"/>
      <c r="AY282" s="141"/>
      <c r="AZ282" s="141"/>
      <c r="BA282" s="140">
        <f>IR282*AN282+IS282*AN282</f>
        <v>629.84999999999991</v>
      </c>
      <c r="BB282" s="141"/>
      <c r="BC282" s="141"/>
      <c r="BD282" s="141"/>
      <c r="BE282" s="141"/>
      <c r="BF282" s="141"/>
      <c r="BG282" s="141"/>
      <c r="BH282" s="141"/>
      <c r="BI282" s="142" t="s">
        <v>653</v>
      </c>
      <c r="BJ282" s="143"/>
      <c r="BK282" s="143"/>
      <c r="BL282" s="143"/>
      <c r="BM282" s="143"/>
      <c r="BN282" s="143"/>
      <c r="IR282" s="9">
        <f>AS282*0.319676113360324</f>
        <v>39.480000000000011</v>
      </c>
      <c r="IS282" s="9">
        <f>AS282*(1-0.319676113360324)</f>
        <v>84.019999999999982</v>
      </c>
    </row>
    <row r="283" spans="1:253">
      <c r="A283" s="142"/>
      <c r="B283" s="143"/>
      <c r="C283" s="143"/>
      <c r="D283" s="143"/>
      <c r="E283" s="143"/>
      <c r="F283" s="143"/>
      <c r="G283" s="143"/>
      <c r="H283" s="143"/>
      <c r="I283" s="150" t="s">
        <v>628</v>
      </c>
      <c r="J283" s="151"/>
      <c r="K283" s="151"/>
      <c r="L283" s="151"/>
      <c r="M283" s="151"/>
      <c r="N283" s="151"/>
      <c r="O283" s="151"/>
      <c r="P283" s="151"/>
      <c r="Q283" s="151"/>
      <c r="R283" s="151"/>
      <c r="S283" s="151"/>
      <c r="T283" s="151"/>
      <c r="U283" s="151"/>
      <c r="V283" s="151"/>
      <c r="W283" s="151"/>
      <c r="X283" s="151"/>
      <c r="Y283" s="151"/>
      <c r="Z283" s="151"/>
      <c r="AA283" s="151"/>
      <c r="AB283" s="151"/>
      <c r="AC283" s="151"/>
      <c r="AD283" s="151"/>
      <c r="AE283" s="151"/>
      <c r="AF283" s="151"/>
      <c r="AG283" s="151"/>
      <c r="AH283" s="151"/>
      <c r="AI283" s="151"/>
      <c r="AJ283" s="151"/>
      <c r="AK283" s="151"/>
      <c r="AL283" s="142"/>
      <c r="AM283" s="143"/>
      <c r="AN283" s="143"/>
      <c r="AO283" s="143"/>
      <c r="AP283" s="143"/>
      <c r="AQ283" s="143"/>
      <c r="AR283" s="143"/>
      <c r="AS283" s="143"/>
      <c r="AT283" s="143"/>
      <c r="AU283" s="143"/>
      <c r="AV283" s="143"/>
      <c r="AW283" s="143"/>
      <c r="AX283" s="143"/>
      <c r="AY283" s="143"/>
      <c r="AZ283" s="143"/>
      <c r="BA283" s="143"/>
      <c r="BB283" s="143"/>
      <c r="BC283" s="143"/>
      <c r="BD283" s="143"/>
      <c r="BE283" s="143"/>
      <c r="BF283" s="143"/>
      <c r="BG283" s="143"/>
      <c r="BH283" s="143"/>
      <c r="BI283" s="143"/>
      <c r="BJ283" s="143"/>
      <c r="BK283" s="143"/>
      <c r="BL283" s="143"/>
      <c r="BM283" s="143"/>
      <c r="BN283" s="143"/>
    </row>
    <row r="284" spans="1:253">
      <c r="A284" s="148" t="s">
        <v>6</v>
      </c>
      <c r="B284" s="149"/>
      <c r="C284" s="148" t="s">
        <v>400</v>
      </c>
      <c r="D284" s="149"/>
      <c r="E284" s="149"/>
      <c r="F284" s="149"/>
      <c r="G284" s="149"/>
      <c r="H284" s="149"/>
      <c r="I284" s="148" t="s">
        <v>617</v>
      </c>
      <c r="J284" s="149"/>
      <c r="K284" s="149"/>
      <c r="L284" s="149"/>
      <c r="M284" s="149"/>
      <c r="N284" s="149"/>
      <c r="O284" s="149"/>
      <c r="P284" s="149"/>
      <c r="Q284" s="149"/>
      <c r="R284" s="149"/>
      <c r="S284" s="149"/>
      <c r="T284" s="149"/>
      <c r="U284" s="149"/>
      <c r="V284" s="149"/>
      <c r="W284" s="149"/>
      <c r="X284" s="149"/>
      <c r="Y284" s="149"/>
      <c r="Z284" s="149"/>
      <c r="AA284" s="149"/>
      <c r="AB284" s="149"/>
      <c r="AC284" s="149"/>
      <c r="AD284" s="149"/>
      <c r="AE284" s="149"/>
      <c r="AF284" s="149"/>
      <c r="AG284" s="149"/>
      <c r="AH284" s="149"/>
      <c r="AI284" s="149"/>
      <c r="AJ284" s="149"/>
      <c r="AK284" s="149"/>
      <c r="AL284" s="148" t="s">
        <v>6</v>
      </c>
      <c r="AM284" s="149"/>
      <c r="AN284" s="144" t="s">
        <v>6</v>
      </c>
      <c r="AO284" s="145"/>
      <c r="AP284" s="145"/>
      <c r="AQ284" s="145"/>
      <c r="AR284" s="145"/>
      <c r="AS284" s="144" t="s">
        <v>6</v>
      </c>
      <c r="AT284" s="145"/>
      <c r="AU284" s="145"/>
      <c r="AV284" s="145"/>
      <c r="AW284" s="145"/>
      <c r="AX284" s="145"/>
      <c r="AY284" s="145"/>
      <c r="AZ284" s="145"/>
      <c r="BA284" s="146">
        <f>SUM(BA285:BA288)</f>
        <v>343248.54031999997</v>
      </c>
      <c r="BB284" s="147"/>
      <c r="BC284" s="147"/>
      <c r="BD284" s="147"/>
      <c r="BE284" s="147"/>
      <c r="BF284" s="147"/>
      <c r="BG284" s="147"/>
      <c r="BH284" s="147"/>
      <c r="BI284" s="148" t="s">
        <v>6</v>
      </c>
      <c r="BJ284" s="149"/>
      <c r="BK284" s="149"/>
      <c r="BL284" s="149"/>
      <c r="BM284" s="149"/>
      <c r="BN284" s="149"/>
    </row>
    <row r="285" spans="1:253">
      <c r="A285" s="142" t="s">
        <v>219</v>
      </c>
      <c r="B285" s="143"/>
      <c r="C285" s="142" t="s">
        <v>401</v>
      </c>
      <c r="D285" s="143"/>
      <c r="E285" s="143"/>
      <c r="F285" s="143"/>
      <c r="G285" s="143"/>
      <c r="H285" s="143"/>
      <c r="I285" s="142" t="s">
        <v>618</v>
      </c>
      <c r="J285" s="143"/>
      <c r="K285" s="143"/>
      <c r="L285" s="143"/>
      <c r="M285" s="143"/>
      <c r="N285" s="143"/>
      <c r="O285" s="143"/>
      <c r="P285" s="143"/>
      <c r="Q285" s="143"/>
      <c r="R285" s="143"/>
      <c r="S285" s="143"/>
      <c r="T285" s="143"/>
      <c r="U285" s="143"/>
      <c r="V285" s="143"/>
      <c r="W285" s="143"/>
      <c r="X285" s="143"/>
      <c r="Y285" s="143"/>
      <c r="Z285" s="143"/>
      <c r="AA285" s="143"/>
      <c r="AB285" s="143"/>
      <c r="AC285" s="143"/>
      <c r="AD285" s="143"/>
      <c r="AE285" s="143"/>
      <c r="AF285" s="143"/>
      <c r="AG285" s="143"/>
      <c r="AH285" s="143"/>
      <c r="AI285" s="143"/>
      <c r="AJ285" s="143"/>
      <c r="AK285" s="143"/>
      <c r="AL285" s="142" t="s">
        <v>639</v>
      </c>
      <c r="AM285" s="143"/>
      <c r="AN285" s="140">
        <v>373.291</v>
      </c>
      <c r="AO285" s="141"/>
      <c r="AP285" s="141"/>
      <c r="AQ285" s="141"/>
      <c r="AR285" s="141"/>
      <c r="AS285" s="140">
        <v>135.51</v>
      </c>
      <c r="AT285" s="141"/>
      <c r="AU285" s="141"/>
      <c r="AV285" s="141"/>
      <c r="AW285" s="141"/>
      <c r="AX285" s="141"/>
      <c r="AY285" s="141"/>
      <c r="AZ285" s="141"/>
      <c r="BA285" s="140">
        <f>IR285*AN285+IS285*AN285</f>
        <v>50584.663409999994</v>
      </c>
      <c r="BB285" s="141"/>
      <c r="BC285" s="141"/>
      <c r="BD285" s="141"/>
      <c r="BE285" s="141"/>
      <c r="BF285" s="141"/>
      <c r="BG285" s="141"/>
      <c r="BH285" s="141"/>
      <c r="BI285" s="142" t="s">
        <v>653</v>
      </c>
      <c r="BJ285" s="143"/>
      <c r="BK285" s="143"/>
      <c r="BL285" s="143"/>
      <c r="BM285" s="143"/>
      <c r="BN285" s="143"/>
      <c r="IR285" s="9">
        <f>AS285*0</f>
        <v>0</v>
      </c>
      <c r="IS285" s="9">
        <f>AS285*(1-0)</f>
        <v>135.51</v>
      </c>
    </row>
    <row r="286" spans="1:253">
      <c r="A286" s="142" t="s">
        <v>220</v>
      </c>
      <c r="B286" s="143"/>
      <c r="C286" s="142" t="s">
        <v>402</v>
      </c>
      <c r="D286" s="143"/>
      <c r="E286" s="143"/>
      <c r="F286" s="143"/>
      <c r="G286" s="143"/>
      <c r="H286" s="143"/>
      <c r="I286" s="142" t="s">
        <v>619</v>
      </c>
      <c r="J286" s="143"/>
      <c r="K286" s="143"/>
      <c r="L286" s="143"/>
      <c r="M286" s="143"/>
      <c r="N286" s="143"/>
      <c r="O286" s="143"/>
      <c r="P286" s="143"/>
      <c r="Q286" s="143"/>
      <c r="R286" s="143"/>
      <c r="S286" s="143"/>
      <c r="T286" s="143"/>
      <c r="U286" s="143"/>
      <c r="V286" s="143"/>
      <c r="W286" s="143"/>
      <c r="X286" s="143"/>
      <c r="Y286" s="143"/>
      <c r="Z286" s="143"/>
      <c r="AA286" s="143"/>
      <c r="AB286" s="143"/>
      <c r="AC286" s="143"/>
      <c r="AD286" s="143"/>
      <c r="AE286" s="143"/>
      <c r="AF286" s="143"/>
      <c r="AG286" s="143"/>
      <c r="AH286" s="143"/>
      <c r="AI286" s="143"/>
      <c r="AJ286" s="143"/>
      <c r="AK286" s="143"/>
      <c r="AL286" s="142" t="s">
        <v>639</v>
      </c>
      <c r="AM286" s="143"/>
      <c r="AN286" s="140">
        <v>7465.82</v>
      </c>
      <c r="AO286" s="141"/>
      <c r="AP286" s="141"/>
      <c r="AQ286" s="141"/>
      <c r="AR286" s="141"/>
      <c r="AS286" s="140">
        <v>23.69</v>
      </c>
      <c r="AT286" s="141"/>
      <c r="AU286" s="141"/>
      <c r="AV286" s="141"/>
      <c r="AW286" s="141"/>
      <c r="AX286" s="141"/>
      <c r="AY286" s="141"/>
      <c r="AZ286" s="141"/>
      <c r="BA286" s="140">
        <f>IR286*AN286+IS286*AN286</f>
        <v>176865.2758</v>
      </c>
      <c r="BB286" s="141"/>
      <c r="BC286" s="141"/>
      <c r="BD286" s="141"/>
      <c r="BE286" s="141"/>
      <c r="BF286" s="141"/>
      <c r="BG286" s="141"/>
      <c r="BH286" s="141"/>
      <c r="BI286" s="142" t="s">
        <v>653</v>
      </c>
      <c r="BJ286" s="143"/>
      <c r="BK286" s="143"/>
      <c r="BL286" s="143"/>
      <c r="BM286" s="143"/>
      <c r="BN286" s="143"/>
      <c r="IR286" s="9">
        <f>AS286*0</f>
        <v>0</v>
      </c>
      <c r="IS286" s="9">
        <f>AS286*(1-0)</f>
        <v>23.69</v>
      </c>
    </row>
    <row r="287" spans="1:253">
      <c r="A287" s="142" t="s">
        <v>221</v>
      </c>
      <c r="B287" s="143"/>
      <c r="C287" s="142" t="s">
        <v>403</v>
      </c>
      <c r="D287" s="143"/>
      <c r="E287" s="143"/>
      <c r="F287" s="143"/>
      <c r="G287" s="143"/>
      <c r="H287" s="143"/>
      <c r="I287" s="142" t="s">
        <v>620</v>
      </c>
      <c r="J287" s="143"/>
      <c r="K287" s="143"/>
      <c r="L287" s="143"/>
      <c r="M287" s="143"/>
      <c r="N287" s="143"/>
      <c r="O287" s="143"/>
      <c r="P287" s="143"/>
      <c r="Q287" s="143"/>
      <c r="R287" s="143"/>
      <c r="S287" s="143"/>
      <c r="T287" s="143"/>
      <c r="U287" s="143"/>
      <c r="V287" s="143"/>
      <c r="W287" s="143"/>
      <c r="X287" s="143"/>
      <c r="Y287" s="143"/>
      <c r="Z287" s="143"/>
      <c r="AA287" s="143"/>
      <c r="AB287" s="143"/>
      <c r="AC287" s="143"/>
      <c r="AD287" s="143"/>
      <c r="AE287" s="143"/>
      <c r="AF287" s="143"/>
      <c r="AG287" s="143"/>
      <c r="AH287" s="143"/>
      <c r="AI287" s="143"/>
      <c r="AJ287" s="143"/>
      <c r="AK287" s="143"/>
      <c r="AL287" s="142" t="s">
        <v>639</v>
      </c>
      <c r="AM287" s="143"/>
      <c r="AN287" s="140">
        <v>373.291</v>
      </c>
      <c r="AO287" s="141"/>
      <c r="AP287" s="141"/>
      <c r="AQ287" s="141"/>
      <c r="AR287" s="141"/>
      <c r="AS287" s="140">
        <v>10.210000000000001</v>
      </c>
      <c r="AT287" s="141"/>
      <c r="AU287" s="141"/>
      <c r="AV287" s="141"/>
      <c r="AW287" s="141"/>
      <c r="AX287" s="141"/>
      <c r="AY287" s="141"/>
      <c r="AZ287" s="141"/>
      <c r="BA287" s="140">
        <f>IR287*AN287+IS287*AN287</f>
        <v>3811.3011100000003</v>
      </c>
      <c r="BB287" s="141"/>
      <c r="BC287" s="141"/>
      <c r="BD287" s="141"/>
      <c r="BE287" s="141"/>
      <c r="BF287" s="141"/>
      <c r="BG287" s="141"/>
      <c r="BH287" s="141"/>
      <c r="BI287" s="142" t="s">
        <v>653</v>
      </c>
      <c r="BJ287" s="143"/>
      <c r="BK287" s="143"/>
      <c r="BL287" s="143"/>
      <c r="BM287" s="143"/>
      <c r="BN287" s="143"/>
      <c r="IR287" s="9">
        <f>AS287*0</f>
        <v>0</v>
      </c>
      <c r="IS287" s="9">
        <f>AS287*(1-0)</f>
        <v>10.210000000000001</v>
      </c>
    </row>
    <row r="288" spans="1:253">
      <c r="A288" s="142" t="s">
        <v>222</v>
      </c>
      <c r="B288" s="143"/>
      <c r="C288" s="142" t="s">
        <v>404</v>
      </c>
      <c r="D288" s="143"/>
      <c r="E288" s="143"/>
      <c r="F288" s="143"/>
      <c r="G288" s="143"/>
      <c r="H288" s="143"/>
      <c r="I288" s="142" t="s">
        <v>621</v>
      </c>
      <c r="J288" s="143"/>
      <c r="K288" s="143"/>
      <c r="L288" s="143"/>
      <c r="M288" s="143"/>
      <c r="N288" s="143"/>
      <c r="O288" s="143"/>
      <c r="P288" s="143"/>
      <c r="Q288" s="143"/>
      <c r="R288" s="143"/>
      <c r="S288" s="143"/>
      <c r="T288" s="143"/>
      <c r="U288" s="143"/>
      <c r="V288" s="143"/>
      <c r="W288" s="143"/>
      <c r="X288" s="143"/>
      <c r="Y288" s="143"/>
      <c r="Z288" s="143"/>
      <c r="AA288" s="143"/>
      <c r="AB288" s="143"/>
      <c r="AC288" s="143"/>
      <c r="AD288" s="143"/>
      <c r="AE288" s="143"/>
      <c r="AF288" s="143"/>
      <c r="AG288" s="143"/>
      <c r="AH288" s="143"/>
      <c r="AI288" s="143"/>
      <c r="AJ288" s="143"/>
      <c r="AK288" s="143"/>
      <c r="AL288" s="142" t="s">
        <v>639</v>
      </c>
      <c r="AM288" s="143"/>
      <c r="AN288" s="140">
        <v>373.291</v>
      </c>
      <c r="AO288" s="141"/>
      <c r="AP288" s="141"/>
      <c r="AQ288" s="141"/>
      <c r="AR288" s="141"/>
      <c r="AS288" s="140">
        <v>300</v>
      </c>
      <c r="AT288" s="141"/>
      <c r="AU288" s="141"/>
      <c r="AV288" s="141"/>
      <c r="AW288" s="141"/>
      <c r="AX288" s="141"/>
      <c r="AY288" s="141"/>
      <c r="AZ288" s="141"/>
      <c r="BA288" s="140">
        <f>IR288*AN288+IS288*AN288</f>
        <v>111987.3</v>
      </c>
      <c r="BB288" s="141"/>
      <c r="BC288" s="141"/>
      <c r="BD288" s="141"/>
      <c r="BE288" s="141"/>
      <c r="BF288" s="141"/>
      <c r="BG288" s="141"/>
      <c r="BH288" s="141"/>
      <c r="BI288" s="142" t="s">
        <v>654</v>
      </c>
      <c r="BJ288" s="143"/>
      <c r="BK288" s="143"/>
      <c r="BL288" s="143"/>
      <c r="BM288" s="143"/>
      <c r="BN288" s="143"/>
      <c r="IR288" s="9">
        <f>AS288*0</f>
        <v>0</v>
      </c>
      <c r="IS288" s="9">
        <f>AS288*(1-0)</f>
        <v>300</v>
      </c>
    </row>
    <row r="290" spans="45:60">
      <c r="AS290" s="137" t="s">
        <v>646</v>
      </c>
      <c r="AT290" s="117"/>
      <c r="AU290" s="117"/>
      <c r="AV290" s="117"/>
      <c r="AW290" s="117"/>
      <c r="AX290" s="117"/>
      <c r="AY290" s="117"/>
      <c r="AZ290" s="117"/>
      <c r="BA290" s="138">
        <f>BA12+BA23+BA30+BA34+BA37+BA44+BA49+BA51+BA116+BA121+BA123+BA125+BA135+BA142+BA152+BA154+BA160+BA171+BA181+BA188+BA205+BA209+BA213+BA218+BA221+BA223+BA229+BA239+BA243+BA247+BA250+BA253+BA256+BA264+BA269+BA276+BA279+BA281+BA284</f>
        <v>5122828.2270985004</v>
      </c>
      <c r="BB290" s="139"/>
      <c r="BC290" s="139"/>
      <c r="BD290" s="139"/>
      <c r="BE290" s="139"/>
      <c r="BF290" s="139"/>
      <c r="BG290" s="139"/>
      <c r="BH290" s="139"/>
    </row>
  </sheetData>
  <mergeCells count="2154">
    <mergeCell ref="A1:BN1"/>
    <mergeCell ref="A2:E3"/>
    <mergeCell ref="F2:AI3"/>
    <mergeCell ref="AJ2:AP3"/>
    <mergeCell ref="AQ2:AV3"/>
    <mergeCell ref="AW2:BC3"/>
    <mergeCell ref="BD2:BN3"/>
    <mergeCell ref="A8:E9"/>
    <mergeCell ref="F8:AI9"/>
    <mergeCell ref="AJ8:AP9"/>
    <mergeCell ref="AQ8:AV9"/>
    <mergeCell ref="AW8:BC9"/>
    <mergeCell ref="BD8:BN9"/>
    <mergeCell ref="A6:E7"/>
    <mergeCell ref="F6:AI7"/>
    <mergeCell ref="AJ6:AP7"/>
    <mergeCell ref="AQ6:AV7"/>
    <mergeCell ref="AW6:BC7"/>
    <mergeCell ref="BD6:BN7"/>
    <mergeCell ref="A4:E5"/>
    <mergeCell ref="F4:AI5"/>
    <mergeCell ref="AJ4:AP5"/>
    <mergeCell ref="AQ4:AV5"/>
    <mergeCell ref="AW4:BC5"/>
    <mergeCell ref="BD4:BN5"/>
    <mergeCell ref="BA12:BH12"/>
    <mergeCell ref="BI12:BN12"/>
    <mergeCell ref="A13:B13"/>
    <mergeCell ref="C13:H13"/>
    <mergeCell ref="I13:AK13"/>
    <mergeCell ref="AL13:AM13"/>
    <mergeCell ref="AN13:AR13"/>
    <mergeCell ref="AS13:AZ13"/>
    <mergeCell ref="BA13:BH13"/>
    <mergeCell ref="BI13:BN13"/>
    <mergeCell ref="A12:B12"/>
    <mergeCell ref="C12:H12"/>
    <mergeCell ref="I12:AK12"/>
    <mergeCell ref="AL12:AM12"/>
    <mergeCell ref="AN12:AR12"/>
    <mergeCell ref="AS12:AZ12"/>
    <mergeCell ref="BA10:BH10"/>
    <mergeCell ref="BI10:BN10"/>
    <mergeCell ref="A11:B11"/>
    <mergeCell ref="C11:H11"/>
    <mergeCell ref="I11:AK11"/>
    <mergeCell ref="AL11:AM11"/>
    <mergeCell ref="AN11:AR11"/>
    <mergeCell ref="AS11:AZ11"/>
    <mergeCell ref="BA11:BH11"/>
    <mergeCell ref="BI11:BN11"/>
    <mergeCell ref="A10:B10"/>
    <mergeCell ref="C10:H10"/>
    <mergeCell ref="I10:AK10"/>
    <mergeCell ref="AL10:AM10"/>
    <mergeCell ref="AN10:AR10"/>
    <mergeCell ref="AS10:AZ10"/>
    <mergeCell ref="BA16:BH16"/>
    <mergeCell ref="BI16:BN16"/>
    <mergeCell ref="A17:B17"/>
    <mergeCell ref="C17:H17"/>
    <mergeCell ref="I17:AK17"/>
    <mergeCell ref="AL17:AM17"/>
    <mergeCell ref="AN17:AR17"/>
    <mergeCell ref="AS17:AZ17"/>
    <mergeCell ref="BA17:BH17"/>
    <mergeCell ref="BI17:BN17"/>
    <mergeCell ref="A16:B16"/>
    <mergeCell ref="C16:H16"/>
    <mergeCell ref="I16:AK16"/>
    <mergeCell ref="AL16:AM16"/>
    <mergeCell ref="AN16:AR16"/>
    <mergeCell ref="AS16:AZ16"/>
    <mergeCell ref="BA14:BH14"/>
    <mergeCell ref="BI14:BN14"/>
    <mergeCell ref="A15:B15"/>
    <mergeCell ref="C15:H15"/>
    <mergeCell ref="I15:AK15"/>
    <mergeCell ref="AL15:AM15"/>
    <mergeCell ref="AN15:AR15"/>
    <mergeCell ref="AS15:AZ15"/>
    <mergeCell ref="BA15:BH15"/>
    <mergeCell ref="BI15:BN15"/>
    <mergeCell ref="A14:B14"/>
    <mergeCell ref="C14:H14"/>
    <mergeCell ref="I14:AK14"/>
    <mergeCell ref="AL14:AM14"/>
    <mergeCell ref="AN14:AR14"/>
    <mergeCell ref="AS14:AZ14"/>
    <mergeCell ref="BA20:BH20"/>
    <mergeCell ref="BI20:BN20"/>
    <mergeCell ref="A21:B21"/>
    <mergeCell ref="C21:H21"/>
    <mergeCell ref="I21:AK21"/>
    <mergeCell ref="AL21:AM21"/>
    <mergeCell ref="AN21:AR21"/>
    <mergeCell ref="AS21:AZ21"/>
    <mergeCell ref="BA21:BH21"/>
    <mergeCell ref="BI21:BN21"/>
    <mergeCell ref="A20:B20"/>
    <mergeCell ref="C20:H20"/>
    <mergeCell ref="I20:AK20"/>
    <mergeCell ref="AL20:AM20"/>
    <mergeCell ref="AN20:AR20"/>
    <mergeCell ref="AS20:AZ20"/>
    <mergeCell ref="BA18:BH18"/>
    <mergeCell ref="BI18:BN18"/>
    <mergeCell ref="A19:B19"/>
    <mergeCell ref="C19:H19"/>
    <mergeCell ref="I19:AK19"/>
    <mergeCell ref="AL19:AM19"/>
    <mergeCell ref="AN19:AR19"/>
    <mergeCell ref="AS19:AZ19"/>
    <mergeCell ref="BA19:BH19"/>
    <mergeCell ref="BI19:BN19"/>
    <mergeCell ref="A18:B18"/>
    <mergeCell ref="C18:H18"/>
    <mergeCell ref="I18:AK18"/>
    <mergeCell ref="AL18:AM18"/>
    <mergeCell ref="AN18:AR18"/>
    <mergeCell ref="AS18:AZ18"/>
    <mergeCell ref="BA24:BH24"/>
    <mergeCell ref="BI24:BN24"/>
    <mergeCell ref="A25:B25"/>
    <mergeCell ref="C25:H25"/>
    <mergeCell ref="I25:AK25"/>
    <mergeCell ref="AL25:AM25"/>
    <mergeCell ref="AN25:AR25"/>
    <mergeCell ref="AS25:AZ25"/>
    <mergeCell ref="BA25:BH25"/>
    <mergeCell ref="BI25:BN25"/>
    <mergeCell ref="A24:B24"/>
    <mergeCell ref="C24:H24"/>
    <mergeCell ref="I24:AK24"/>
    <mergeCell ref="AL24:AM24"/>
    <mergeCell ref="AN24:AR24"/>
    <mergeCell ref="AS24:AZ24"/>
    <mergeCell ref="BA22:BH22"/>
    <mergeCell ref="BI22:BN22"/>
    <mergeCell ref="A23:B23"/>
    <mergeCell ref="C23:H23"/>
    <mergeCell ref="I23:AK23"/>
    <mergeCell ref="AL23:AM23"/>
    <mergeCell ref="AN23:AR23"/>
    <mergeCell ref="AS23:AZ23"/>
    <mergeCell ref="BA23:BH23"/>
    <mergeCell ref="BI23:BN23"/>
    <mergeCell ref="A22:B22"/>
    <mergeCell ref="C22:H22"/>
    <mergeCell ref="I22:AK22"/>
    <mergeCell ref="AL22:AM22"/>
    <mergeCell ref="AN22:AR22"/>
    <mergeCell ref="AS22:AZ22"/>
    <mergeCell ref="BA28:BH28"/>
    <mergeCell ref="BI28:BN28"/>
    <mergeCell ref="A29:B29"/>
    <mergeCell ref="C29:H29"/>
    <mergeCell ref="I29:AK29"/>
    <mergeCell ref="AL29:AM29"/>
    <mergeCell ref="AN29:AR29"/>
    <mergeCell ref="AS29:AZ29"/>
    <mergeCell ref="BA29:BH29"/>
    <mergeCell ref="BI29:BN29"/>
    <mergeCell ref="A28:B28"/>
    <mergeCell ref="C28:H28"/>
    <mergeCell ref="I28:AK28"/>
    <mergeCell ref="AL28:AM28"/>
    <mergeCell ref="AN28:AR28"/>
    <mergeCell ref="AS28:AZ28"/>
    <mergeCell ref="BA26:BH26"/>
    <mergeCell ref="BI26:BN26"/>
    <mergeCell ref="A27:B27"/>
    <mergeCell ref="C27:H27"/>
    <mergeCell ref="I27:AK27"/>
    <mergeCell ref="AL27:AM27"/>
    <mergeCell ref="AN27:AR27"/>
    <mergeCell ref="AS27:AZ27"/>
    <mergeCell ref="BA27:BH27"/>
    <mergeCell ref="BI27:BN27"/>
    <mergeCell ref="A26:B26"/>
    <mergeCell ref="C26:H26"/>
    <mergeCell ref="I26:AK26"/>
    <mergeCell ref="AL26:AM26"/>
    <mergeCell ref="AN26:AR26"/>
    <mergeCell ref="AS26:AZ26"/>
    <mergeCell ref="BA32:BH32"/>
    <mergeCell ref="BI32:BN32"/>
    <mergeCell ref="A33:B33"/>
    <mergeCell ref="C33:H33"/>
    <mergeCell ref="I33:AK33"/>
    <mergeCell ref="AL33:AM33"/>
    <mergeCell ref="AN33:AR33"/>
    <mergeCell ref="AS33:AZ33"/>
    <mergeCell ref="BA33:BH33"/>
    <mergeCell ref="BI33:BN33"/>
    <mergeCell ref="A32:B32"/>
    <mergeCell ref="C32:H32"/>
    <mergeCell ref="I32:AK32"/>
    <mergeCell ref="AL32:AM32"/>
    <mergeCell ref="AN32:AR32"/>
    <mergeCell ref="AS32:AZ32"/>
    <mergeCell ref="BA30:BH30"/>
    <mergeCell ref="BI30:BN30"/>
    <mergeCell ref="A31:B31"/>
    <mergeCell ref="C31:H31"/>
    <mergeCell ref="I31:AK31"/>
    <mergeCell ref="AL31:AM31"/>
    <mergeCell ref="AN31:AR31"/>
    <mergeCell ref="AS31:AZ31"/>
    <mergeCell ref="BA31:BH31"/>
    <mergeCell ref="BI31:BN31"/>
    <mergeCell ref="A30:B30"/>
    <mergeCell ref="C30:H30"/>
    <mergeCell ref="I30:AK30"/>
    <mergeCell ref="AL30:AM30"/>
    <mergeCell ref="AN30:AR30"/>
    <mergeCell ref="AS30:AZ30"/>
    <mergeCell ref="BA36:BH36"/>
    <mergeCell ref="BI36:BN36"/>
    <mergeCell ref="A37:B37"/>
    <mergeCell ref="C37:H37"/>
    <mergeCell ref="I37:AK37"/>
    <mergeCell ref="AL37:AM37"/>
    <mergeCell ref="AN37:AR37"/>
    <mergeCell ref="AS37:AZ37"/>
    <mergeCell ref="BA37:BH37"/>
    <mergeCell ref="BI37:BN37"/>
    <mergeCell ref="A36:B36"/>
    <mergeCell ref="C36:H36"/>
    <mergeCell ref="I36:AK36"/>
    <mergeCell ref="AL36:AM36"/>
    <mergeCell ref="AN36:AR36"/>
    <mergeCell ref="AS36:AZ36"/>
    <mergeCell ref="BA34:BH34"/>
    <mergeCell ref="BI34:BN34"/>
    <mergeCell ref="A35:B35"/>
    <mergeCell ref="C35:H35"/>
    <mergeCell ref="I35:AK35"/>
    <mergeCell ref="AL35:AM35"/>
    <mergeCell ref="AN35:AR35"/>
    <mergeCell ref="AS35:AZ35"/>
    <mergeCell ref="BA35:BH35"/>
    <mergeCell ref="BI35:BN35"/>
    <mergeCell ref="A34:B34"/>
    <mergeCell ref="C34:H34"/>
    <mergeCell ref="I34:AK34"/>
    <mergeCell ref="AL34:AM34"/>
    <mergeCell ref="AN34:AR34"/>
    <mergeCell ref="AS34:AZ34"/>
    <mergeCell ref="BA40:BH40"/>
    <mergeCell ref="BI40:BN40"/>
    <mergeCell ref="A41:B41"/>
    <mergeCell ref="C41:H41"/>
    <mergeCell ref="I41:AK41"/>
    <mergeCell ref="AL41:AM41"/>
    <mergeCell ref="AN41:AR41"/>
    <mergeCell ref="AS41:AZ41"/>
    <mergeCell ref="BA41:BH41"/>
    <mergeCell ref="BI41:BN41"/>
    <mergeCell ref="A40:B40"/>
    <mergeCell ref="C40:H40"/>
    <mergeCell ref="I40:AK40"/>
    <mergeCell ref="AL40:AM40"/>
    <mergeCell ref="AN40:AR40"/>
    <mergeCell ref="AS40:AZ40"/>
    <mergeCell ref="BA38:BH38"/>
    <mergeCell ref="BI38:BN38"/>
    <mergeCell ref="A39:B39"/>
    <mergeCell ref="C39:H39"/>
    <mergeCell ref="I39:AK39"/>
    <mergeCell ref="AL39:AM39"/>
    <mergeCell ref="AN39:AR39"/>
    <mergeCell ref="AS39:AZ39"/>
    <mergeCell ref="BA39:BH39"/>
    <mergeCell ref="BI39:BN39"/>
    <mergeCell ref="A38:B38"/>
    <mergeCell ref="C38:H38"/>
    <mergeCell ref="I38:AK38"/>
    <mergeCell ref="AL38:AM38"/>
    <mergeCell ref="AN38:AR38"/>
    <mergeCell ref="AS38:AZ38"/>
    <mergeCell ref="BA44:BH44"/>
    <mergeCell ref="BI44:BN44"/>
    <mergeCell ref="A45:B45"/>
    <mergeCell ref="C45:H45"/>
    <mergeCell ref="I45:AK45"/>
    <mergeCell ref="AL45:AM45"/>
    <mergeCell ref="AN45:AR45"/>
    <mergeCell ref="AS45:AZ45"/>
    <mergeCell ref="BA45:BH45"/>
    <mergeCell ref="BI45:BN45"/>
    <mergeCell ref="A44:B44"/>
    <mergeCell ref="C44:H44"/>
    <mergeCell ref="I44:AK44"/>
    <mergeCell ref="AL44:AM44"/>
    <mergeCell ref="AN44:AR44"/>
    <mergeCell ref="AS44:AZ44"/>
    <mergeCell ref="BA42:BH42"/>
    <mergeCell ref="BI42:BN42"/>
    <mergeCell ref="A43:B43"/>
    <mergeCell ref="C43:H43"/>
    <mergeCell ref="I43:AK43"/>
    <mergeCell ref="AL43:AM43"/>
    <mergeCell ref="AN43:AR43"/>
    <mergeCell ref="AS43:AZ43"/>
    <mergeCell ref="BA43:BH43"/>
    <mergeCell ref="BI43:BN43"/>
    <mergeCell ref="A42:B42"/>
    <mergeCell ref="C42:H42"/>
    <mergeCell ref="I42:AK42"/>
    <mergeCell ref="AL42:AM42"/>
    <mergeCell ref="AN42:AR42"/>
    <mergeCell ref="AS42:AZ42"/>
    <mergeCell ref="BA48:BH48"/>
    <mergeCell ref="BI48:BN48"/>
    <mergeCell ref="A49:B49"/>
    <mergeCell ref="C49:H49"/>
    <mergeCell ref="I49:AK49"/>
    <mergeCell ref="AL49:AM49"/>
    <mergeCell ref="AN49:AR49"/>
    <mergeCell ref="AS49:AZ49"/>
    <mergeCell ref="BA49:BH49"/>
    <mergeCell ref="BI49:BN49"/>
    <mergeCell ref="A48:B48"/>
    <mergeCell ref="C48:H48"/>
    <mergeCell ref="I48:AK48"/>
    <mergeCell ref="AL48:AM48"/>
    <mergeCell ref="AN48:AR48"/>
    <mergeCell ref="AS48:AZ48"/>
    <mergeCell ref="BA46:BH46"/>
    <mergeCell ref="BI46:BN46"/>
    <mergeCell ref="A47:B47"/>
    <mergeCell ref="C47:H47"/>
    <mergeCell ref="I47:AK47"/>
    <mergeCell ref="AL47:AM47"/>
    <mergeCell ref="AN47:AR47"/>
    <mergeCell ref="AS47:AZ47"/>
    <mergeCell ref="BA47:BH47"/>
    <mergeCell ref="BI47:BN47"/>
    <mergeCell ref="A46:B46"/>
    <mergeCell ref="C46:H46"/>
    <mergeCell ref="I46:AK46"/>
    <mergeCell ref="AL46:AM46"/>
    <mergeCell ref="AN46:AR46"/>
    <mergeCell ref="AS46:AZ46"/>
    <mergeCell ref="BA52:BH52"/>
    <mergeCell ref="BI52:BN52"/>
    <mergeCell ref="A53:B53"/>
    <mergeCell ref="C53:H53"/>
    <mergeCell ref="I53:AK53"/>
    <mergeCell ref="AL53:AM53"/>
    <mergeCell ref="AN53:AR53"/>
    <mergeCell ref="AS53:AZ53"/>
    <mergeCell ref="BA53:BH53"/>
    <mergeCell ref="BI53:BN53"/>
    <mergeCell ref="A52:B52"/>
    <mergeCell ref="C52:H52"/>
    <mergeCell ref="I52:AK52"/>
    <mergeCell ref="AL52:AM52"/>
    <mergeCell ref="AN52:AR52"/>
    <mergeCell ref="AS52:AZ52"/>
    <mergeCell ref="BA50:BH50"/>
    <mergeCell ref="BI50:BN50"/>
    <mergeCell ref="A51:B51"/>
    <mergeCell ref="C51:H51"/>
    <mergeCell ref="I51:AK51"/>
    <mergeCell ref="AL51:AM51"/>
    <mergeCell ref="AN51:AR51"/>
    <mergeCell ref="AS51:AZ51"/>
    <mergeCell ref="BA51:BH51"/>
    <mergeCell ref="BI51:BN51"/>
    <mergeCell ref="A50:B50"/>
    <mergeCell ref="C50:H50"/>
    <mergeCell ref="I50:AK50"/>
    <mergeCell ref="AL50:AM50"/>
    <mergeCell ref="AN50:AR50"/>
    <mergeCell ref="AS50:AZ50"/>
    <mergeCell ref="BA56:BH56"/>
    <mergeCell ref="BI56:BN56"/>
    <mergeCell ref="A57:B57"/>
    <mergeCell ref="C57:H57"/>
    <mergeCell ref="I57:AK57"/>
    <mergeCell ref="AL57:AM57"/>
    <mergeCell ref="AN57:AR57"/>
    <mergeCell ref="AS57:AZ57"/>
    <mergeCell ref="BA57:BH57"/>
    <mergeCell ref="BI57:BN57"/>
    <mergeCell ref="A56:B56"/>
    <mergeCell ref="C56:H56"/>
    <mergeCell ref="I56:AK56"/>
    <mergeCell ref="AL56:AM56"/>
    <mergeCell ref="AN56:AR56"/>
    <mergeCell ref="AS56:AZ56"/>
    <mergeCell ref="BA54:BH54"/>
    <mergeCell ref="BI54:BN54"/>
    <mergeCell ref="A55:B55"/>
    <mergeCell ref="C55:H55"/>
    <mergeCell ref="I55:AK55"/>
    <mergeCell ref="AL55:AM55"/>
    <mergeCell ref="AN55:AR55"/>
    <mergeCell ref="AS55:AZ55"/>
    <mergeCell ref="BA55:BH55"/>
    <mergeCell ref="BI55:BN55"/>
    <mergeCell ref="A54:B54"/>
    <mergeCell ref="C54:H54"/>
    <mergeCell ref="I54:AK54"/>
    <mergeCell ref="AL54:AM54"/>
    <mergeCell ref="AN54:AR54"/>
    <mergeCell ref="AS54:AZ54"/>
    <mergeCell ref="BA60:BH60"/>
    <mergeCell ref="BI60:BN60"/>
    <mergeCell ref="A61:H61"/>
    <mergeCell ref="I61:AK61"/>
    <mergeCell ref="AL61:BN61"/>
    <mergeCell ref="A62:B62"/>
    <mergeCell ref="C62:H62"/>
    <mergeCell ref="I62:AK62"/>
    <mergeCell ref="AL62:AM62"/>
    <mergeCell ref="AN62:AR62"/>
    <mergeCell ref="A60:B60"/>
    <mergeCell ref="C60:H60"/>
    <mergeCell ref="I60:AK60"/>
    <mergeCell ref="AL60:AM60"/>
    <mergeCell ref="AN60:AR60"/>
    <mergeCell ref="AS60:AZ60"/>
    <mergeCell ref="BA58:BH58"/>
    <mergeCell ref="BI58:BN58"/>
    <mergeCell ref="A59:B59"/>
    <mergeCell ref="C59:H59"/>
    <mergeCell ref="I59:AK59"/>
    <mergeCell ref="AL59:AM59"/>
    <mergeCell ref="AN59:AR59"/>
    <mergeCell ref="AS59:AZ59"/>
    <mergeCell ref="BA59:BH59"/>
    <mergeCell ref="BI59:BN59"/>
    <mergeCell ref="A58:B58"/>
    <mergeCell ref="C58:H58"/>
    <mergeCell ref="I58:AK58"/>
    <mergeCell ref="AL58:AM58"/>
    <mergeCell ref="AN58:AR58"/>
    <mergeCell ref="AS58:AZ58"/>
    <mergeCell ref="BI63:BN63"/>
    <mergeCell ref="A64:B64"/>
    <mergeCell ref="C64:H64"/>
    <mergeCell ref="I64:AK64"/>
    <mergeCell ref="AL64:AM64"/>
    <mergeCell ref="AN64:AR64"/>
    <mergeCell ref="AS64:AZ64"/>
    <mergeCell ref="BA64:BH64"/>
    <mergeCell ref="BI64:BN64"/>
    <mergeCell ref="AS62:AZ62"/>
    <mergeCell ref="BA62:BH62"/>
    <mergeCell ref="BI62:BN62"/>
    <mergeCell ref="A63:B63"/>
    <mergeCell ref="C63:H63"/>
    <mergeCell ref="I63:AK63"/>
    <mergeCell ref="AL63:AM63"/>
    <mergeCell ref="AN63:AR63"/>
    <mergeCell ref="AS63:AZ63"/>
    <mergeCell ref="BA63:BH63"/>
    <mergeCell ref="BA67:BH67"/>
    <mergeCell ref="BI67:BN67"/>
    <mergeCell ref="A68:B68"/>
    <mergeCell ref="C68:H68"/>
    <mergeCell ref="I68:AK68"/>
    <mergeCell ref="AL68:AM68"/>
    <mergeCell ref="AN68:AR68"/>
    <mergeCell ref="AS68:AZ68"/>
    <mergeCell ref="BA68:BH68"/>
    <mergeCell ref="BI68:BN68"/>
    <mergeCell ref="A67:B67"/>
    <mergeCell ref="C67:H67"/>
    <mergeCell ref="I67:AK67"/>
    <mergeCell ref="AL67:AM67"/>
    <mergeCell ref="AN67:AR67"/>
    <mergeCell ref="AS67:AZ67"/>
    <mergeCell ref="BA65:BH65"/>
    <mergeCell ref="BI65:BN65"/>
    <mergeCell ref="A66:B66"/>
    <mergeCell ref="C66:H66"/>
    <mergeCell ref="I66:AK66"/>
    <mergeCell ref="AL66:AM66"/>
    <mergeCell ref="AN66:AR66"/>
    <mergeCell ref="AS66:AZ66"/>
    <mergeCell ref="BA66:BH66"/>
    <mergeCell ref="BI66:BN66"/>
    <mergeCell ref="A65:B65"/>
    <mergeCell ref="C65:H65"/>
    <mergeCell ref="I65:AK65"/>
    <mergeCell ref="AL65:AM65"/>
    <mergeCell ref="AN65:AR65"/>
    <mergeCell ref="AS65:AZ65"/>
    <mergeCell ref="BA71:BH71"/>
    <mergeCell ref="BI71:BN71"/>
    <mergeCell ref="A72:B72"/>
    <mergeCell ref="C72:H72"/>
    <mergeCell ref="I72:AK72"/>
    <mergeCell ref="AL72:AM72"/>
    <mergeCell ref="AN72:AR72"/>
    <mergeCell ref="AS72:AZ72"/>
    <mergeCell ref="BA72:BH72"/>
    <mergeCell ref="BI72:BN72"/>
    <mergeCell ref="A71:B71"/>
    <mergeCell ref="C71:H71"/>
    <mergeCell ref="I71:AK71"/>
    <mergeCell ref="AL71:AM71"/>
    <mergeCell ref="AN71:AR71"/>
    <mergeCell ref="AS71:AZ71"/>
    <mergeCell ref="BA69:BH69"/>
    <mergeCell ref="BI69:BN69"/>
    <mergeCell ref="A70:B70"/>
    <mergeCell ref="C70:H70"/>
    <mergeCell ref="I70:AK70"/>
    <mergeCell ref="AL70:AM70"/>
    <mergeCell ref="AN70:AR70"/>
    <mergeCell ref="AS70:AZ70"/>
    <mergeCell ref="BA70:BH70"/>
    <mergeCell ref="BI70:BN70"/>
    <mergeCell ref="A69:B69"/>
    <mergeCell ref="C69:H69"/>
    <mergeCell ref="I69:AK69"/>
    <mergeCell ref="AL69:AM69"/>
    <mergeCell ref="AN69:AR69"/>
    <mergeCell ref="AS69:AZ69"/>
    <mergeCell ref="BA75:BH75"/>
    <mergeCell ref="BI75:BN75"/>
    <mergeCell ref="A76:B76"/>
    <mergeCell ref="C76:H76"/>
    <mergeCell ref="I76:AK76"/>
    <mergeCell ref="AL76:AM76"/>
    <mergeCell ref="AN76:AR76"/>
    <mergeCell ref="AS76:AZ76"/>
    <mergeCell ref="BA76:BH76"/>
    <mergeCell ref="BI76:BN76"/>
    <mergeCell ref="A75:B75"/>
    <mergeCell ref="C75:H75"/>
    <mergeCell ref="I75:AK75"/>
    <mergeCell ref="AL75:AM75"/>
    <mergeCell ref="AN75:AR75"/>
    <mergeCell ref="AS75:AZ75"/>
    <mergeCell ref="BA73:BH73"/>
    <mergeCell ref="BI73:BN73"/>
    <mergeCell ref="A74:B74"/>
    <mergeCell ref="C74:H74"/>
    <mergeCell ref="I74:AK74"/>
    <mergeCell ref="AL74:AM74"/>
    <mergeCell ref="AN74:AR74"/>
    <mergeCell ref="AS74:AZ74"/>
    <mergeCell ref="BA74:BH74"/>
    <mergeCell ref="BI74:BN74"/>
    <mergeCell ref="A73:B73"/>
    <mergeCell ref="C73:H73"/>
    <mergeCell ref="I73:AK73"/>
    <mergeCell ref="AL73:AM73"/>
    <mergeCell ref="AN73:AR73"/>
    <mergeCell ref="AS73:AZ73"/>
    <mergeCell ref="BA79:BH79"/>
    <mergeCell ref="BI79:BN79"/>
    <mergeCell ref="A80:B80"/>
    <mergeCell ref="C80:H80"/>
    <mergeCell ref="I80:AK80"/>
    <mergeCell ref="AL80:AM80"/>
    <mergeCell ref="AN80:AR80"/>
    <mergeCell ref="AS80:AZ80"/>
    <mergeCell ref="BA80:BH80"/>
    <mergeCell ref="BI80:BN80"/>
    <mergeCell ref="A79:B79"/>
    <mergeCell ref="C79:H79"/>
    <mergeCell ref="I79:AK79"/>
    <mergeCell ref="AL79:AM79"/>
    <mergeCell ref="AN79:AR79"/>
    <mergeCell ref="AS79:AZ79"/>
    <mergeCell ref="BA77:BH77"/>
    <mergeCell ref="BI77:BN77"/>
    <mergeCell ref="A78:B78"/>
    <mergeCell ref="C78:H78"/>
    <mergeCell ref="I78:AK78"/>
    <mergeCell ref="AL78:AM78"/>
    <mergeCell ref="AN78:AR78"/>
    <mergeCell ref="AS78:AZ78"/>
    <mergeCell ref="BA78:BH78"/>
    <mergeCell ref="BI78:BN78"/>
    <mergeCell ref="A77:B77"/>
    <mergeCell ref="C77:H77"/>
    <mergeCell ref="I77:AK77"/>
    <mergeCell ref="AL77:AM77"/>
    <mergeCell ref="AN77:AR77"/>
    <mergeCell ref="AS77:AZ77"/>
    <mergeCell ref="BA83:BH83"/>
    <mergeCell ref="BI83:BN83"/>
    <mergeCell ref="A84:B84"/>
    <mergeCell ref="C84:H84"/>
    <mergeCell ref="I84:AK84"/>
    <mergeCell ref="AL84:AM84"/>
    <mergeCell ref="AN84:AR84"/>
    <mergeCell ref="AS84:AZ84"/>
    <mergeCell ref="BA84:BH84"/>
    <mergeCell ref="BI84:BN84"/>
    <mergeCell ref="A83:B83"/>
    <mergeCell ref="C83:H83"/>
    <mergeCell ref="I83:AK83"/>
    <mergeCell ref="AL83:AM83"/>
    <mergeCell ref="AN83:AR83"/>
    <mergeCell ref="AS83:AZ83"/>
    <mergeCell ref="BA81:BH81"/>
    <mergeCell ref="BI81:BN81"/>
    <mergeCell ref="A82:B82"/>
    <mergeCell ref="C82:H82"/>
    <mergeCell ref="I82:AK82"/>
    <mergeCell ref="AL82:AM82"/>
    <mergeCell ref="AN82:AR82"/>
    <mergeCell ref="AS82:AZ82"/>
    <mergeCell ref="BA82:BH82"/>
    <mergeCell ref="BI82:BN82"/>
    <mergeCell ref="A81:B81"/>
    <mergeCell ref="C81:H81"/>
    <mergeCell ref="I81:AK81"/>
    <mergeCell ref="AL81:AM81"/>
    <mergeCell ref="AN81:AR81"/>
    <mergeCell ref="AS81:AZ81"/>
    <mergeCell ref="BA87:BH87"/>
    <mergeCell ref="BI87:BN87"/>
    <mergeCell ref="A88:B88"/>
    <mergeCell ref="C88:H88"/>
    <mergeCell ref="I88:AK88"/>
    <mergeCell ref="AL88:AM88"/>
    <mergeCell ref="AN88:AR88"/>
    <mergeCell ref="AS88:AZ88"/>
    <mergeCell ref="BA88:BH88"/>
    <mergeCell ref="BI88:BN88"/>
    <mergeCell ref="A87:B87"/>
    <mergeCell ref="C87:H87"/>
    <mergeCell ref="I87:AK87"/>
    <mergeCell ref="AL87:AM87"/>
    <mergeCell ref="AN87:AR87"/>
    <mergeCell ref="AS87:AZ87"/>
    <mergeCell ref="BA85:BH85"/>
    <mergeCell ref="BI85:BN85"/>
    <mergeCell ref="A86:B86"/>
    <mergeCell ref="C86:H86"/>
    <mergeCell ref="I86:AK86"/>
    <mergeCell ref="AL86:AM86"/>
    <mergeCell ref="AN86:AR86"/>
    <mergeCell ref="AS86:AZ86"/>
    <mergeCell ref="BA86:BH86"/>
    <mergeCell ref="BI86:BN86"/>
    <mergeCell ref="A85:B85"/>
    <mergeCell ref="C85:H85"/>
    <mergeCell ref="I85:AK85"/>
    <mergeCell ref="AL85:AM85"/>
    <mergeCell ref="AN85:AR85"/>
    <mergeCell ref="AS85:AZ85"/>
    <mergeCell ref="BA91:BH91"/>
    <mergeCell ref="BI91:BN91"/>
    <mergeCell ref="A92:B92"/>
    <mergeCell ref="C92:H92"/>
    <mergeCell ref="I92:AK92"/>
    <mergeCell ref="AL92:AM92"/>
    <mergeCell ref="AN92:AR92"/>
    <mergeCell ref="AS92:AZ92"/>
    <mergeCell ref="BA92:BH92"/>
    <mergeCell ref="BI92:BN92"/>
    <mergeCell ref="A91:B91"/>
    <mergeCell ref="C91:H91"/>
    <mergeCell ref="I91:AK91"/>
    <mergeCell ref="AL91:AM91"/>
    <mergeCell ref="AN91:AR91"/>
    <mergeCell ref="AS91:AZ91"/>
    <mergeCell ref="BA89:BH89"/>
    <mergeCell ref="BI89:BN89"/>
    <mergeCell ref="A90:B90"/>
    <mergeCell ref="C90:H90"/>
    <mergeCell ref="I90:AK90"/>
    <mergeCell ref="AL90:AM90"/>
    <mergeCell ref="AN90:AR90"/>
    <mergeCell ref="AS90:AZ90"/>
    <mergeCell ref="BA90:BH90"/>
    <mergeCell ref="BI90:BN90"/>
    <mergeCell ref="A89:B89"/>
    <mergeCell ref="C89:H89"/>
    <mergeCell ref="I89:AK89"/>
    <mergeCell ref="AL89:AM89"/>
    <mergeCell ref="AN89:AR89"/>
    <mergeCell ref="AS89:AZ89"/>
    <mergeCell ref="BA95:BH95"/>
    <mergeCell ref="BI95:BN95"/>
    <mergeCell ref="A96:B96"/>
    <mergeCell ref="C96:H96"/>
    <mergeCell ref="I96:AK96"/>
    <mergeCell ref="AL96:AM96"/>
    <mergeCell ref="AN96:AR96"/>
    <mergeCell ref="AS96:AZ96"/>
    <mergeCell ref="BA96:BH96"/>
    <mergeCell ref="BI96:BN96"/>
    <mergeCell ref="A95:B95"/>
    <mergeCell ref="C95:H95"/>
    <mergeCell ref="I95:AK95"/>
    <mergeCell ref="AL95:AM95"/>
    <mergeCell ref="AN95:AR95"/>
    <mergeCell ref="AS95:AZ95"/>
    <mergeCell ref="BA93:BH93"/>
    <mergeCell ref="BI93:BN93"/>
    <mergeCell ref="A94:B94"/>
    <mergeCell ref="C94:H94"/>
    <mergeCell ref="I94:AK94"/>
    <mergeCell ref="AL94:AM94"/>
    <mergeCell ref="AN94:AR94"/>
    <mergeCell ref="AS94:AZ94"/>
    <mergeCell ref="BA94:BH94"/>
    <mergeCell ref="BI94:BN94"/>
    <mergeCell ref="A93:B93"/>
    <mergeCell ref="C93:H93"/>
    <mergeCell ref="I93:AK93"/>
    <mergeCell ref="AL93:AM93"/>
    <mergeCell ref="AN93:AR93"/>
    <mergeCell ref="AS93:AZ93"/>
    <mergeCell ref="BA99:BH99"/>
    <mergeCell ref="BI99:BN99"/>
    <mergeCell ref="A100:B100"/>
    <mergeCell ref="C100:H100"/>
    <mergeCell ref="I100:AK100"/>
    <mergeCell ref="AL100:AM100"/>
    <mergeCell ref="AN100:AR100"/>
    <mergeCell ref="AS100:AZ100"/>
    <mergeCell ref="BA100:BH100"/>
    <mergeCell ref="BI100:BN100"/>
    <mergeCell ref="A99:B99"/>
    <mergeCell ref="C99:H99"/>
    <mergeCell ref="I99:AK99"/>
    <mergeCell ref="AL99:AM99"/>
    <mergeCell ref="AN99:AR99"/>
    <mergeCell ref="AS99:AZ99"/>
    <mergeCell ref="BA97:BH97"/>
    <mergeCell ref="BI97:BN97"/>
    <mergeCell ref="A98:B98"/>
    <mergeCell ref="C98:H98"/>
    <mergeCell ref="I98:AK98"/>
    <mergeCell ref="AL98:AM98"/>
    <mergeCell ref="AN98:AR98"/>
    <mergeCell ref="AS98:AZ98"/>
    <mergeCell ref="BA98:BH98"/>
    <mergeCell ref="BI98:BN98"/>
    <mergeCell ref="A97:B97"/>
    <mergeCell ref="C97:H97"/>
    <mergeCell ref="I97:AK97"/>
    <mergeCell ref="AL97:AM97"/>
    <mergeCell ref="AN97:AR97"/>
    <mergeCell ref="AS97:AZ97"/>
    <mergeCell ref="BA103:BH103"/>
    <mergeCell ref="BI103:BN103"/>
    <mergeCell ref="A104:B104"/>
    <mergeCell ref="C104:H104"/>
    <mergeCell ref="I104:AK104"/>
    <mergeCell ref="AL104:AM104"/>
    <mergeCell ref="AN104:AR104"/>
    <mergeCell ref="AS104:AZ104"/>
    <mergeCell ref="BA104:BH104"/>
    <mergeCell ref="BI104:BN104"/>
    <mergeCell ref="A103:B103"/>
    <mergeCell ref="C103:H103"/>
    <mergeCell ref="I103:AK103"/>
    <mergeCell ref="AL103:AM103"/>
    <mergeCell ref="AN103:AR103"/>
    <mergeCell ref="AS103:AZ103"/>
    <mergeCell ref="BA101:BH101"/>
    <mergeCell ref="BI101:BN101"/>
    <mergeCell ref="A102:B102"/>
    <mergeCell ref="C102:H102"/>
    <mergeCell ref="I102:AK102"/>
    <mergeCell ref="AL102:AM102"/>
    <mergeCell ref="AN102:AR102"/>
    <mergeCell ref="AS102:AZ102"/>
    <mergeCell ref="BA102:BH102"/>
    <mergeCell ref="BI102:BN102"/>
    <mergeCell ref="A101:B101"/>
    <mergeCell ref="C101:H101"/>
    <mergeCell ref="I101:AK101"/>
    <mergeCell ref="AL101:AM101"/>
    <mergeCell ref="AN101:AR101"/>
    <mergeCell ref="AS101:AZ101"/>
    <mergeCell ref="BA107:BH107"/>
    <mergeCell ref="BI107:BN107"/>
    <mergeCell ref="A108:B108"/>
    <mergeCell ref="C108:H108"/>
    <mergeCell ref="I108:AK108"/>
    <mergeCell ref="AL108:AM108"/>
    <mergeCell ref="AN108:AR108"/>
    <mergeCell ref="AS108:AZ108"/>
    <mergeCell ref="BA108:BH108"/>
    <mergeCell ref="BI108:BN108"/>
    <mergeCell ref="A107:B107"/>
    <mergeCell ref="C107:H107"/>
    <mergeCell ref="I107:AK107"/>
    <mergeCell ref="AL107:AM107"/>
    <mergeCell ref="AN107:AR107"/>
    <mergeCell ref="AS107:AZ107"/>
    <mergeCell ref="BA105:BH105"/>
    <mergeCell ref="BI105:BN105"/>
    <mergeCell ref="A106:B106"/>
    <mergeCell ref="C106:H106"/>
    <mergeCell ref="I106:AK106"/>
    <mergeCell ref="AL106:AM106"/>
    <mergeCell ref="AN106:AR106"/>
    <mergeCell ref="AS106:AZ106"/>
    <mergeCell ref="BA106:BH106"/>
    <mergeCell ref="BI106:BN106"/>
    <mergeCell ref="A105:B105"/>
    <mergeCell ref="C105:H105"/>
    <mergeCell ref="I105:AK105"/>
    <mergeCell ref="AL105:AM105"/>
    <mergeCell ref="AN105:AR105"/>
    <mergeCell ref="AS105:AZ105"/>
    <mergeCell ref="BA111:BH111"/>
    <mergeCell ref="BI111:BN111"/>
    <mergeCell ref="A112:B112"/>
    <mergeCell ref="C112:H112"/>
    <mergeCell ref="I112:AK112"/>
    <mergeCell ref="AL112:AM112"/>
    <mergeCell ref="AN112:AR112"/>
    <mergeCell ref="AS112:AZ112"/>
    <mergeCell ref="BA112:BH112"/>
    <mergeCell ref="BI112:BN112"/>
    <mergeCell ref="A111:B111"/>
    <mergeCell ref="C111:H111"/>
    <mergeCell ref="I111:AK111"/>
    <mergeCell ref="AL111:AM111"/>
    <mergeCell ref="AN111:AR111"/>
    <mergeCell ref="AS111:AZ111"/>
    <mergeCell ref="BA109:BH109"/>
    <mergeCell ref="BI109:BN109"/>
    <mergeCell ref="A110:B110"/>
    <mergeCell ref="C110:H110"/>
    <mergeCell ref="I110:AK110"/>
    <mergeCell ref="AL110:AM110"/>
    <mergeCell ref="AN110:AR110"/>
    <mergeCell ref="AS110:AZ110"/>
    <mergeCell ref="BA110:BH110"/>
    <mergeCell ref="BI110:BN110"/>
    <mergeCell ref="A109:B109"/>
    <mergeCell ref="C109:H109"/>
    <mergeCell ref="I109:AK109"/>
    <mergeCell ref="AL109:AM109"/>
    <mergeCell ref="AN109:AR109"/>
    <mergeCell ref="AS109:AZ109"/>
    <mergeCell ref="BA115:BH115"/>
    <mergeCell ref="BI115:BN115"/>
    <mergeCell ref="A116:B116"/>
    <mergeCell ref="C116:H116"/>
    <mergeCell ref="I116:AK116"/>
    <mergeCell ref="AL116:AM116"/>
    <mergeCell ref="AN116:AR116"/>
    <mergeCell ref="AS116:AZ116"/>
    <mergeCell ref="BA116:BH116"/>
    <mergeCell ref="BI116:BN116"/>
    <mergeCell ref="A115:B115"/>
    <mergeCell ref="C115:H115"/>
    <mergeCell ref="I115:AK115"/>
    <mergeCell ref="AL115:AM115"/>
    <mergeCell ref="AN115:AR115"/>
    <mergeCell ref="AS115:AZ115"/>
    <mergeCell ref="BA113:BH113"/>
    <mergeCell ref="BI113:BN113"/>
    <mergeCell ref="A114:B114"/>
    <mergeCell ref="C114:H114"/>
    <mergeCell ref="I114:AK114"/>
    <mergeCell ref="AL114:AM114"/>
    <mergeCell ref="AN114:AR114"/>
    <mergeCell ref="AS114:AZ114"/>
    <mergeCell ref="BA114:BH114"/>
    <mergeCell ref="BI114:BN114"/>
    <mergeCell ref="A113:B113"/>
    <mergeCell ref="C113:H113"/>
    <mergeCell ref="I113:AK113"/>
    <mergeCell ref="AL113:AM113"/>
    <mergeCell ref="AN113:AR113"/>
    <mergeCell ref="AS113:AZ113"/>
    <mergeCell ref="BA119:BH119"/>
    <mergeCell ref="BI119:BN119"/>
    <mergeCell ref="A120:B120"/>
    <mergeCell ref="C120:H120"/>
    <mergeCell ref="I120:AK120"/>
    <mergeCell ref="AL120:AM120"/>
    <mergeCell ref="AN120:AR120"/>
    <mergeCell ref="AS120:AZ120"/>
    <mergeCell ref="BA120:BH120"/>
    <mergeCell ref="BI120:BN120"/>
    <mergeCell ref="A119:B119"/>
    <mergeCell ref="C119:H119"/>
    <mergeCell ref="I119:AK119"/>
    <mergeCell ref="AL119:AM119"/>
    <mergeCell ref="AN119:AR119"/>
    <mergeCell ref="AS119:AZ119"/>
    <mergeCell ref="BA117:BH117"/>
    <mergeCell ref="BI117:BN117"/>
    <mergeCell ref="A118:B118"/>
    <mergeCell ref="C118:H118"/>
    <mergeCell ref="I118:AK118"/>
    <mergeCell ref="AL118:AM118"/>
    <mergeCell ref="AN118:AR118"/>
    <mergeCell ref="AS118:AZ118"/>
    <mergeCell ref="BA118:BH118"/>
    <mergeCell ref="BI118:BN118"/>
    <mergeCell ref="A117:B117"/>
    <mergeCell ref="C117:H117"/>
    <mergeCell ref="I117:AK117"/>
    <mergeCell ref="AL117:AM117"/>
    <mergeCell ref="AN117:AR117"/>
    <mergeCell ref="AS117:AZ117"/>
    <mergeCell ref="BA123:BH123"/>
    <mergeCell ref="BI123:BN123"/>
    <mergeCell ref="A124:B124"/>
    <mergeCell ref="C124:H124"/>
    <mergeCell ref="I124:AK124"/>
    <mergeCell ref="AL124:AM124"/>
    <mergeCell ref="AN124:AR124"/>
    <mergeCell ref="AS124:AZ124"/>
    <mergeCell ref="BA124:BH124"/>
    <mergeCell ref="BI124:BN124"/>
    <mergeCell ref="A123:B123"/>
    <mergeCell ref="C123:H123"/>
    <mergeCell ref="I123:AK123"/>
    <mergeCell ref="AL123:AM123"/>
    <mergeCell ref="AN123:AR123"/>
    <mergeCell ref="AS123:AZ123"/>
    <mergeCell ref="BA121:BH121"/>
    <mergeCell ref="BI121:BN121"/>
    <mergeCell ref="A122:B122"/>
    <mergeCell ref="C122:H122"/>
    <mergeCell ref="I122:AK122"/>
    <mergeCell ref="AL122:AM122"/>
    <mergeCell ref="AN122:AR122"/>
    <mergeCell ref="AS122:AZ122"/>
    <mergeCell ref="BA122:BH122"/>
    <mergeCell ref="BI122:BN122"/>
    <mergeCell ref="A121:B121"/>
    <mergeCell ref="C121:H121"/>
    <mergeCell ref="I121:AK121"/>
    <mergeCell ref="AL121:AM121"/>
    <mergeCell ref="AN121:AR121"/>
    <mergeCell ref="AS121:AZ121"/>
    <mergeCell ref="A127:H127"/>
    <mergeCell ref="I127:AK127"/>
    <mergeCell ref="AL127:BN127"/>
    <mergeCell ref="A128:B128"/>
    <mergeCell ref="C128:H128"/>
    <mergeCell ref="I128:AK128"/>
    <mergeCell ref="AL128:AM128"/>
    <mergeCell ref="AN128:AR128"/>
    <mergeCell ref="AS128:AZ128"/>
    <mergeCell ref="BA128:BH128"/>
    <mergeCell ref="BA125:BH125"/>
    <mergeCell ref="BI125:BN125"/>
    <mergeCell ref="A126:B126"/>
    <mergeCell ref="C126:H126"/>
    <mergeCell ref="I126:AK126"/>
    <mergeCell ref="AL126:AM126"/>
    <mergeCell ref="AN126:AR126"/>
    <mergeCell ref="AS126:AZ126"/>
    <mergeCell ref="BA126:BH126"/>
    <mergeCell ref="BI126:BN126"/>
    <mergeCell ref="A125:B125"/>
    <mergeCell ref="C125:H125"/>
    <mergeCell ref="I125:AK125"/>
    <mergeCell ref="AL125:AM125"/>
    <mergeCell ref="AN125:AR125"/>
    <mergeCell ref="AS125:AZ125"/>
    <mergeCell ref="BA130:BH130"/>
    <mergeCell ref="BI130:BN130"/>
    <mergeCell ref="A131:H131"/>
    <mergeCell ref="I131:AK131"/>
    <mergeCell ref="AL131:BN131"/>
    <mergeCell ref="A132:B132"/>
    <mergeCell ref="C132:H132"/>
    <mergeCell ref="I132:AK132"/>
    <mergeCell ref="AL132:AM132"/>
    <mergeCell ref="AN132:AR132"/>
    <mergeCell ref="BI128:BN128"/>
    <mergeCell ref="A129:H129"/>
    <mergeCell ref="I129:AK129"/>
    <mergeCell ref="AL129:BN129"/>
    <mergeCell ref="A130:B130"/>
    <mergeCell ref="C130:H130"/>
    <mergeCell ref="I130:AK130"/>
    <mergeCell ref="AL130:AM130"/>
    <mergeCell ref="AN130:AR130"/>
    <mergeCell ref="AS130:AZ130"/>
    <mergeCell ref="BI133:BN133"/>
    <mergeCell ref="A134:B134"/>
    <mergeCell ref="C134:H134"/>
    <mergeCell ref="I134:AK134"/>
    <mergeCell ref="AL134:AM134"/>
    <mergeCell ref="AN134:AR134"/>
    <mergeCell ref="AS134:AZ134"/>
    <mergeCell ref="BA134:BH134"/>
    <mergeCell ref="BI134:BN134"/>
    <mergeCell ref="AS132:AZ132"/>
    <mergeCell ref="BA132:BH132"/>
    <mergeCell ref="BI132:BN132"/>
    <mergeCell ref="A133:B133"/>
    <mergeCell ref="C133:H133"/>
    <mergeCell ref="I133:AK133"/>
    <mergeCell ref="AL133:AM133"/>
    <mergeCell ref="AN133:AR133"/>
    <mergeCell ref="AS133:AZ133"/>
    <mergeCell ref="BA133:BH133"/>
    <mergeCell ref="A137:H137"/>
    <mergeCell ref="I137:AK137"/>
    <mergeCell ref="AL137:BN137"/>
    <mergeCell ref="A138:B138"/>
    <mergeCell ref="C138:H138"/>
    <mergeCell ref="I138:AK138"/>
    <mergeCell ref="AL138:AM138"/>
    <mergeCell ref="AN138:AR138"/>
    <mergeCell ref="AS138:AZ138"/>
    <mergeCell ref="BA138:BH138"/>
    <mergeCell ref="BA135:BH135"/>
    <mergeCell ref="BI135:BN135"/>
    <mergeCell ref="A136:B136"/>
    <mergeCell ref="C136:H136"/>
    <mergeCell ref="I136:AK136"/>
    <mergeCell ref="AL136:AM136"/>
    <mergeCell ref="AN136:AR136"/>
    <mergeCell ref="AS136:AZ136"/>
    <mergeCell ref="BA136:BH136"/>
    <mergeCell ref="BI136:BN136"/>
    <mergeCell ref="A135:B135"/>
    <mergeCell ref="C135:H135"/>
    <mergeCell ref="I135:AK135"/>
    <mergeCell ref="AL135:AM135"/>
    <mergeCell ref="AN135:AR135"/>
    <mergeCell ref="AS135:AZ135"/>
    <mergeCell ref="A140:H140"/>
    <mergeCell ref="I140:AK140"/>
    <mergeCell ref="AL140:BN140"/>
    <mergeCell ref="A141:B141"/>
    <mergeCell ref="C141:H141"/>
    <mergeCell ref="I141:AK141"/>
    <mergeCell ref="AL141:AM141"/>
    <mergeCell ref="AN141:AR141"/>
    <mergeCell ref="AS141:AZ141"/>
    <mergeCell ref="BA141:BH141"/>
    <mergeCell ref="BI138:BN138"/>
    <mergeCell ref="A139:B139"/>
    <mergeCell ref="C139:H139"/>
    <mergeCell ref="I139:AK139"/>
    <mergeCell ref="AL139:AM139"/>
    <mergeCell ref="AN139:AR139"/>
    <mergeCell ref="AS139:AZ139"/>
    <mergeCell ref="BA139:BH139"/>
    <mergeCell ref="BI139:BN139"/>
    <mergeCell ref="BA143:BH143"/>
    <mergeCell ref="BI143:BN143"/>
    <mergeCell ref="A144:B144"/>
    <mergeCell ref="C144:H144"/>
    <mergeCell ref="I144:AK144"/>
    <mergeCell ref="AL144:AM144"/>
    <mergeCell ref="AN144:AR144"/>
    <mergeCell ref="AS144:AZ144"/>
    <mergeCell ref="BA144:BH144"/>
    <mergeCell ref="BI144:BN144"/>
    <mergeCell ref="A143:B143"/>
    <mergeCell ref="C143:H143"/>
    <mergeCell ref="I143:AK143"/>
    <mergeCell ref="AL143:AM143"/>
    <mergeCell ref="AN143:AR143"/>
    <mergeCell ref="AS143:AZ143"/>
    <mergeCell ref="BI141:BN141"/>
    <mergeCell ref="A142:B142"/>
    <mergeCell ref="C142:H142"/>
    <mergeCell ref="I142:AK142"/>
    <mergeCell ref="AL142:AM142"/>
    <mergeCell ref="AN142:AR142"/>
    <mergeCell ref="AS142:AZ142"/>
    <mergeCell ref="BA142:BH142"/>
    <mergeCell ref="BI142:BN142"/>
    <mergeCell ref="BI146:BN146"/>
    <mergeCell ref="A147:B147"/>
    <mergeCell ref="C147:H147"/>
    <mergeCell ref="I147:AK147"/>
    <mergeCell ref="AL147:AM147"/>
    <mergeCell ref="AN147:AR147"/>
    <mergeCell ref="AS147:AZ147"/>
    <mergeCell ref="BA147:BH147"/>
    <mergeCell ref="BI147:BN147"/>
    <mergeCell ref="A145:H145"/>
    <mergeCell ref="I145:AK145"/>
    <mergeCell ref="AL145:BN145"/>
    <mergeCell ref="A146:B146"/>
    <mergeCell ref="C146:H146"/>
    <mergeCell ref="I146:AK146"/>
    <mergeCell ref="AL146:AM146"/>
    <mergeCell ref="AN146:AR146"/>
    <mergeCell ref="AS146:AZ146"/>
    <mergeCell ref="BA146:BH146"/>
    <mergeCell ref="A150:H150"/>
    <mergeCell ref="I150:AK150"/>
    <mergeCell ref="AL150:BN150"/>
    <mergeCell ref="A151:B151"/>
    <mergeCell ref="C151:H151"/>
    <mergeCell ref="I151:AK151"/>
    <mergeCell ref="AL151:AM151"/>
    <mergeCell ref="AN151:AR151"/>
    <mergeCell ref="AS151:AZ151"/>
    <mergeCell ref="BA151:BH151"/>
    <mergeCell ref="BA148:BH148"/>
    <mergeCell ref="BI148:BN148"/>
    <mergeCell ref="A149:B149"/>
    <mergeCell ref="C149:H149"/>
    <mergeCell ref="I149:AK149"/>
    <mergeCell ref="AL149:AM149"/>
    <mergeCell ref="AN149:AR149"/>
    <mergeCell ref="AS149:AZ149"/>
    <mergeCell ref="BA149:BH149"/>
    <mergeCell ref="BI149:BN149"/>
    <mergeCell ref="A148:B148"/>
    <mergeCell ref="C148:H148"/>
    <mergeCell ref="I148:AK148"/>
    <mergeCell ref="AL148:AM148"/>
    <mergeCell ref="AN148:AR148"/>
    <mergeCell ref="AS148:AZ148"/>
    <mergeCell ref="BA153:BH153"/>
    <mergeCell ref="BI153:BN153"/>
    <mergeCell ref="A154:B154"/>
    <mergeCell ref="C154:H154"/>
    <mergeCell ref="I154:AK154"/>
    <mergeCell ref="AL154:AM154"/>
    <mergeCell ref="AN154:AR154"/>
    <mergeCell ref="AS154:AZ154"/>
    <mergeCell ref="BA154:BH154"/>
    <mergeCell ref="BI154:BN154"/>
    <mergeCell ref="A153:B153"/>
    <mergeCell ref="C153:H153"/>
    <mergeCell ref="I153:AK153"/>
    <mergeCell ref="AL153:AM153"/>
    <mergeCell ref="AN153:AR153"/>
    <mergeCell ref="AS153:AZ153"/>
    <mergeCell ref="BI151:BN151"/>
    <mergeCell ref="A152:B152"/>
    <mergeCell ref="C152:H152"/>
    <mergeCell ref="I152:AK152"/>
    <mergeCell ref="AL152:AM152"/>
    <mergeCell ref="AN152:AR152"/>
    <mergeCell ref="AS152:AZ152"/>
    <mergeCell ref="BA152:BH152"/>
    <mergeCell ref="BI152:BN152"/>
    <mergeCell ref="BA157:BH157"/>
    <mergeCell ref="BI157:BN157"/>
    <mergeCell ref="A158:H158"/>
    <mergeCell ref="I158:AK158"/>
    <mergeCell ref="AL158:BN158"/>
    <mergeCell ref="A159:B159"/>
    <mergeCell ref="C159:H159"/>
    <mergeCell ref="I159:AK159"/>
    <mergeCell ref="AL159:AM159"/>
    <mergeCell ref="AN159:AR159"/>
    <mergeCell ref="A157:B157"/>
    <mergeCell ref="C157:H157"/>
    <mergeCell ref="I157:AK157"/>
    <mergeCell ref="AL157:AM157"/>
    <mergeCell ref="AN157:AR157"/>
    <mergeCell ref="AS157:AZ157"/>
    <mergeCell ref="BA155:BH155"/>
    <mergeCell ref="BI155:BN155"/>
    <mergeCell ref="A156:B156"/>
    <mergeCell ref="C156:H156"/>
    <mergeCell ref="I156:AK156"/>
    <mergeCell ref="AL156:AM156"/>
    <mergeCell ref="AN156:AR156"/>
    <mergeCell ref="AS156:AZ156"/>
    <mergeCell ref="BA156:BH156"/>
    <mergeCell ref="BI156:BN156"/>
    <mergeCell ref="A155:B155"/>
    <mergeCell ref="C155:H155"/>
    <mergeCell ref="I155:AK155"/>
    <mergeCell ref="AL155:AM155"/>
    <mergeCell ref="AN155:AR155"/>
    <mergeCell ref="AS155:AZ155"/>
    <mergeCell ref="BI160:BN160"/>
    <mergeCell ref="A161:B161"/>
    <mergeCell ref="C161:H161"/>
    <mergeCell ref="I161:AK161"/>
    <mergeCell ref="AL161:AM161"/>
    <mergeCell ref="AN161:AR161"/>
    <mergeCell ref="AS161:AZ161"/>
    <mergeCell ref="BA161:BH161"/>
    <mergeCell ref="BI161:BN161"/>
    <mergeCell ref="AS159:AZ159"/>
    <mergeCell ref="BA159:BH159"/>
    <mergeCell ref="BI159:BN159"/>
    <mergeCell ref="A160:B160"/>
    <mergeCell ref="C160:H160"/>
    <mergeCell ref="I160:AK160"/>
    <mergeCell ref="AL160:AM160"/>
    <mergeCell ref="AN160:AR160"/>
    <mergeCell ref="AS160:AZ160"/>
    <mergeCell ref="BA160:BH160"/>
    <mergeCell ref="BI163:BN163"/>
    <mergeCell ref="A164:B164"/>
    <mergeCell ref="C164:H164"/>
    <mergeCell ref="I164:AK164"/>
    <mergeCell ref="AL164:AM164"/>
    <mergeCell ref="AN164:AR164"/>
    <mergeCell ref="AS164:AZ164"/>
    <mergeCell ref="BA164:BH164"/>
    <mergeCell ref="BI164:BN164"/>
    <mergeCell ref="A162:H162"/>
    <mergeCell ref="I162:AK162"/>
    <mergeCell ref="AL162:BN162"/>
    <mergeCell ref="A163:B163"/>
    <mergeCell ref="C163:H163"/>
    <mergeCell ref="I163:AK163"/>
    <mergeCell ref="AL163:AM163"/>
    <mergeCell ref="AN163:AR163"/>
    <mergeCell ref="AS163:AZ163"/>
    <mergeCell ref="BA163:BH163"/>
    <mergeCell ref="BA167:BH167"/>
    <mergeCell ref="BI167:BN167"/>
    <mergeCell ref="A168:B168"/>
    <mergeCell ref="C168:H168"/>
    <mergeCell ref="I168:AK168"/>
    <mergeCell ref="AL168:AM168"/>
    <mergeCell ref="AN168:AR168"/>
    <mergeCell ref="AS168:AZ168"/>
    <mergeCell ref="BA168:BH168"/>
    <mergeCell ref="BI168:BN168"/>
    <mergeCell ref="A167:B167"/>
    <mergeCell ref="C167:H167"/>
    <mergeCell ref="I167:AK167"/>
    <mergeCell ref="AL167:AM167"/>
    <mergeCell ref="AN167:AR167"/>
    <mergeCell ref="AS167:AZ167"/>
    <mergeCell ref="BA165:BH165"/>
    <mergeCell ref="BI165:BN165"/>
    <mergeCell ref="A166:B166"/>
    <mergeCell ref="C166:H166"/>
    <mergeCell ref="I166:AK166"/>
    <mergeCell ref="AL166:AM166"/>
    <mergeCell ref="AN166:AR166"/>
    <mergeCell ref="AS166:AZ166"/>
    <mergeCell ref="BA166:BH166"/>
    <mergeCell ref="BI166:BN166"/>
    <mergeCell ref="A165:B165"/>
    <mergeCell ref="C165:H165"/>
    <mergeCell ref="I165:AK165"/>
    <mergeCell ref="AL165:AM165"/>
    <mergeCell ref="AN165:AR165"/>
    <mergeCell ref="AS165:AZ165"/>
    <mergeCell ref="BA171:BH171"/>
    <mergeCell ref="BI171:BN171"/>
    <mergeCell ref="A172:B172"/>
    <mergeCell ref="C172:H172"/>
    <mergeCell ref="I172:AK172"/>
    <mergeCell ref="AL172:AM172"/>
    <mergeCell ref="AN172:AR172"/>
    <mergeCell ref="AS172:AZ172"/>
    <mergeCell ref="BA172:BH172"/>
    <mergeCell ref="BI172:BN172"/>
    <mergeCell ref="A171:B171"/>
    <mergeCell ref="C171:H171"/>
    <mergeCell ref="I171:AK171"/>
    <mergeCell ref="AL171:AM171"/>
    <mergeCell ref="AN171:AR171"/>
    <mergeCell ref="AS171:AZ171"/>
    <mergeCell ref="BA169:BH169"/>
    <mergeCell ref="BI169:BN169"/>
    <mergeCell ref="A170:B170"/>
    <mergeCell ref="C170:H170"/>
    <mergeCell ref="I170:AK170"/>
    <mergeCell ref="AL170:AM170"/>
    <mergeCell ref="AN170:AR170"/>
    <mergeCell ref="AS170:AZ170"/>
    <mergeCell ref="BA170:BH170"/>
    <mergeCell ref="BI170:BN170"/>
    <mergeCell ref="A169:B169"/>
    <mergeCell ref="C169:H169"/>
    <mergeCell ref="I169:AK169"/>
    <mergeCell ref="AL169:AM169"/>
    <mergeCell ref="AN169:AR169"/>
    <mergeCell ref="AS169:AZ169"/>
    <mergeCell ref="BA175:BH175"/>
    <mergeCell ref="BI175:BN175"/>
    <mergeCell ref="A176:B176"/>
    <mergeCell ref="C176:H176"/>
    <mergeCell ref="I176:AK176"/>
    <mergeCell ref="AL176:AM176"/>
    <mergeCell ref="AN176:AR176"/>
    <mergeCell ref="AS176:AZ176"/>
    <mergeCell ref="BA176:BH176"/>
    <mergeCell ref="BI176:BN176"/>
    <mergeCell ref="A175:B175"/>
    <mergeCell ref="C175:H175"/>
    <mergeCell ref="I175:AK175"/>
    <mergeCell ref="AL175:AM175"/>
    <mergeCell ref="AN175:AR175"/>
    <mergeCell ref="AS175:AZ175"/>
    <mergeCell ref="BA173:BH173"/>
    <mergeCell ref="BI173:BN173"/>
    <mergeCell ref="A174:B174"/>
    <mergeCell ref="C174:H174"/>
    <mergeCell ref="I174:AK174"/>
    <mergeCell ref="AL174:AM174"/>
    <mergeCell ref="AN174:AR174"/>
    <mergeCell ref="AS174:AZ174"/>
    <mergeCell ref="BA174:BH174"/>
    <mergeCell ref="BI174:BN174"/>
    <mergeCell ref="A173:B173"/>
    <mergeCell ref="C173:H173"/>
    <mergeCell ref="I173:AK173"/>
    <mergeCell ref="AL173:AM173"/>
    <mergeCell ref="AN173:AR173"/>
    <mergeCell ref="AS173:AZ173"/>
    <mergeCell ref="BA179:BH179"/>
    <mergeCell ref="BI179:BN179"/>
    <mergeCell ref="A180:B180"/>
    <mergeCell ref="C180:H180"/>
    <mergeCell ref="I180:AK180"/>
    <mergeCell ref="AL180:AM180"/>
    <mergeCell ref="AN180:AR180"/>
    <mergeCell ref="AS180:AZ180"/>
    <mergeCell ref="BA180:BH180"/>
    <mergeCell ref="BI180:BN180"/>
    <mergeCell ref="A179:B179"/>
    <mergeCell ref="C179:H179"/>
    <mergeCell ref="I179:AK179"/>
    <mergeCell ref="AL179:AM179"/>
    <mergeCell ref="AN179:AR179"/>
    <mergeCell ref="AS179:AZ179"/>
    <mergeCell ref="BA177:BH177"/>
    <mergeCell ref="BI177:BN177"/>
    <mergeCell ref="A178:B178"/>
    <mergeCell ref="C178:H178"/>
    <mergeCell ref="I178:AK178"/>
    <mergeCell ref="AL178:AM178"/>
    <mergeCell ref="AN178:AR178"/>
    <mergeCell ref="AS178:AZ178"/>
    <mergeCell ref="BA178:BH178"/>
    <mergeCell ref="BI178:BN178"/>
    <mergeCell ref="A177:B177"/>
    <mergeCell ref="C177:H177"/>
    <mergeCell ref="I177:AK177"/>
    <mergeCell ref="AL177:AM177"/>
    <mergeCell ref="AN177:AR177"/>
    <mergeCell ref="AS177:AZ177"/>
    <mergeCell ref="BA183:BH183"/>
    <mergeCell ref="BI183:BN183"/>
    <mergeCell ref="A184:B184"/>
    <mergeCell ref="C184:H184"/>
    <mergeCell ref="I184:AK184"/>
    <mergeCell ref="AL184:AM184"/>
    <mergeCell ref="AN184:AR184"/>
    <mergeCell ref="AS184:AZ184"/>
    <mergeCell ref="BA184:BH184"/>
    <mergeCell ref="BI184:BN184"/>
    <mergeCell ref="A183:B183"/>
    <mergeCell ref="C183:H183"/>
    <mergeCell ref="I183:AK183"/>
    <mergeCell ref="AL183:AM183"/>
    <mergeCell ref="AN183:AR183"/>
    <mergeCell ref="AS183:AZ183"/>
    <mergeCell ref="BA181:BH181"/>
    <mergeCell ref="BI181:BN181"/>
    <mergeCell ref="A182:B182"/>
    <mergeCell ref="C182:H182"/>
    <mergeCell ref="I182:AK182"/>
    <mergeCell ref="AL182:AM182"/>
    <mergeCell ref="AN182:AR182"/>
    <mergeCell ref="AS182:AZ182"/>
    <mergeCell ref="BA182:BH182"/>
    <mergeCell ref="BI182:BN182"/>
    <mergeCell ref="A181:B181"/>
    <mergeCell ref="C181:H181"/>
    <mergeCell ref="I181:AK181"/>
    <mergeCell ref="AL181:AM181"/>
    <mergeCell ref="AN181:AR181"/>
    <mergeCell ref="AS181:AZ181"/>
    <mergeCell ref="AS187:AZ187"/>
    <mergeCell ref="BA187:BH187"/>
    <mergeCell ref="BI187:BN187"/>
    <mergeCell ref="A188:B188"/>
    <mergeCell ref="C188:H188"/>
    <mergeCell ref="I188:AK188"/>
    <mergeCell ref="AL188:AM188"/>
    <mergeCell ref="AN188:AR188"/>
    <mergeCell ref="AS188:AZ188"/>
    <mergeCell ref="BA188:BH188"/>
    <mergeCell ref="BA185:BH185"/>
    <mergeCell ref="BI185:BN185"/>
    <mergeCell ref="A186:H186"/>
    <mergeCell ref="I186:AK186"/>
    <mergeCell ref="AL186:BN186"/>
    <mergeCell ref="A187:B187"/>
    <mergeCell ref="C187:H187"/>
    <mergeCell ref="I187:AK187"/>
    <mergeCell ref="AL187:AM187"/>
    <mergeCell ref="AN187:AR187"/>
    <mergeCell ref="A185:B185"/>
    <mergeCell ref="C185:H185"/>
    <mergeCell ref="I185:AK185"/>
    <mergeCell ref="AL185:AM185"/>
    <mergeCell ref="AN185:AR185"/>
    <mergeCell ref="AS185:AZ185"/>
    <mergeCell ref="BA190:BH190"/>
    <mergeCell ref="BI190:BN190"/>
    <mergeCell ref="A191:B191"/>
    <mergeCell ref="C191:H191"/>
    <mergeCell ref="I191:AK191"/>
    <mergeCell ref="AL191:AM191"/>
    <mergeCell ref="AN191:AR191"/>
    <mergeCell ref="AS191:AZ191"/>
    <mergeCell ref="BA191:BH191"/>
    <mergeCell ref="BI191:BN191"/>
    <mergeCell ref="A190:B190"/>
    <mergeCell ref="C190:H190"/>
    <mergeCell ref="I190:AK190"/>
    <mergeCell ref="AL190:AM190"/>
    <mergeCell ref="AN190:AR190"/>
    <mergeCell ref="AS190:AZ190"/>
    <mergeCell ref="BI188:BN188"/>
    <mergeCell ref="A189:B189"/>
    <mergeCell ref="C189:H189"/>
    <mergeCell ref="I189:AK189"/>
    <mergeCell ref="AL189:AM189"/>
    <mergeCell ref="AN189:AR189"/>
    <mergeCell ref="AS189:AZ189"/>
    <mergeCell ref="BA189:BH189"/>
    <mergeCell ref="BI189:BN189"/>
    <mergeCell ref="BA194:BH194"/>
    <mergeCell ref="BI194:BN194"/>
    <mergeCell ref="A195:B195"/>
    <mergeCell ref="C195:H195"/>
    <mergeCell ref="I195:AK195"/>
    <mergeCell ref="AL195:AM195"/>
    <mergeCell ref="AN195:AR195"/>
    <mergeCell ref="AS195:AZ195"/>
    <mergeCell ref="BA195:BH195"/>
    <mergeCell ref="BI195:BN195"/>
    <mergeCell ref="A194:B194"/>
    <mergeCell ref="C194:H194"/>
    <mergeCell ref="I194:AK194"/>
    <mergeCell ref="AL194:AM194"/>
    <mergeCell ref="AN194:AR194"/>
    <mergeCell ref="AS194:AZ194"/>
    <mergeCell ref="BA192:BH192"/>
    <mergeCell ref="BI192:BN192"/>
    <mergeCell ref="A193:B193"/>
    <mergeCell ref="C193:H193"/>
    <mergeCell ref="I193:AK193"/>
    <mergeCell ref="AL193:AM193"/>
    <mergeCell ref="AN193:AR193"/>
    <mergeCell ref="AS193:AZ193"/>
    <mergeCell ref="BA193:BH193"/>
    <mergeCell ref="BI193:BN193"/>
    <mergeCell ref="A192:B192"/>
    <mergeCell ref="C192:H192"/>
    <mergeCell ref="I192:AK192"/>
    <mergeCell ref="AL192:AM192"/>
    <mergeCell ref="AN192:AR192"/>
    <mergeCell ref="AS192:AZ192"/>
    <mergeCell ref="BA198:BH198"/>
    <mergeCell ref="BI198:BN198"/>
    <mergeCell ref="A199:B199"/>
    <mergeCell ref="C199:H199"/>
    <mergeCell ref="I199:AK199"/>
    <mergeCell ref="AL199:AM199"/>
    <mergeCell ref="AN199:AR199"/>
    <mergeCell ref="AS199:AZ199"/>
    <mergeCell ref="BA199:BH199"/>
    <mergeCell ref="BI199:BN199"/>
    <mergeCell ref="A198:B198"/>
    <mergeCell ref="C198:H198"/>
    <mergeCell ref="I198:AK198"/>
    <mergeCell ref="AL198:AM198"/>
    <mergeCell ref="AN198:AR198"/>
    <mergeCell ref="AS198:AZ198"/>
    <mergeCell ref="BA196:BH196"/>
    <mergeCell ref="BI196:BN196"/>
    <mergeCell ref="A197:B197"/>
    <mergeCell ref="C197:H197"/>
    <mergeCell ref="I197:AK197"/>
    <mergeCell ref="AL197:AM197"/>
    <mergeCell ref="AN197:AR197"/>
    <mergeCell ref="AS197:AZ197"/>
    <mergeCell ref="BA197:BH197"/>
    <mergeCell ref="BI197:BN197"/>
    <mergeCell ref="A196:B196"/>
    <mergeCell ref="C196:H196"/>
    <mergeCell ref="I196:AK196"/>
    <mergeCell ref="AL196:AM196"/>
    <mergeCell ref="AN196:AR196"/>
    <mergeCell ref="AS196:AZ196"/>
    <mergeCell ref="BA202:BH202"/>
    <mergeCell ref="BI202:BN202"/>
    <mergeCell ref="A203:B203"/>
    <mergeCell ref="C203:H203"/>
    <mergeCell ref="I203:AK203"/>
    <mergeCell ref="AL203:AM203"/>
    <mergeCell ref="AN203:AR203"/>
    <mergeCell ref="AS203:AZ203"/>
    <mergeCell ref="BA203:BH203"/>
    <mergeCell ref="BI203:BN203"/>
    <mergeCell ref="A202:B202"/>
    <mergeCell ref="C202:H202"/>
    <mergeCell ref="I202:AK202"/>
    <mergeCell ref="AL202:AM202"/>
    <mergeCell ref="AN202:AR202"/>
    <mergeCell ref="AS202:AZ202"/>
    <mergeCell ref="BA200:BH200"/>
    <mergeCell ref="BI200:BN200"/>
    <mergeCell ref="A201:B201"/>
    <mergeCell ref="C201:H201"/>
    <mergeCell ref="I201:AK201"/>
    <mergeCell ref="AL201:AM201"/>
    <mergeCell ref="AN201:AR201"/>
    <mergeCell ref="AS201:AZ201"/>
    <mergeCell ref="BA201:BH201"/>
    <mergeCell ref="BI201:BN201"/>
    <mergeCell ref="A200:B200"/>
    <mergeCell ref="C200:H200"/>
    <mergeCell ref="I200:AK200"/>
    <mergeCell ref="AL200:AM200"/>
    <mergeCell ref="AN200:AR200"/>
    <mergeCell ref="AS200:AZ200"/>
    <mergeCell ref="BA206:BH206"/>
    <mergeCell ref="BI206:BN206"/>
    <mergeCell ref="A207:B207"/>
    <mergeCell ref="C207:H207"/>
    <mergeCell ref="I207:AK207"/>
    <mergeCell ref="AL207:AM207"/>
    <mergeCell ref="AN207:AR207"/>
    <mergeCell ref="AS207:AZ207"/>
    <mergeCell ref="BA207:BH207"/>
    <mergeCell ref="BI207:BN207"/>
    <mergeCell ref="A206:B206"/>
    <mergeCell ref="C206:H206"/>
    <mergeCell ref="I206:AK206"/>
    <mergeCell ref="AL206:AM206"/>
    <mergeCell ref="AN206:AR206"/>
    <mergeCell ref="AS206:AZ206"/>
    <mergeCell ref="BA204:BH204"/>
    <mergeCell ref="BI204:BN204"/>
    <mergeCell ref="A205:B205"/>
    <mergeCell ref="C205:H205"/>
    <mergeCell ref="I205:AK205"/>
    <mergeCell ref="AL205:AM205"/>
    <mergeCell ref="AN205:AR205"/>
    <mergeCell ref="AS205:AZ205"/>
    <mergeCell ref="BA205:BH205"/>
    <mergeCell ref="BI205:BN205"/>
    <mergeCell ref="A204:B204"/>
    <mergeCell ref="C204:H204"/>
    <mergeCell ref="I204:AK204"/>
    <mergeCell ref="AL204:AM204"/>
    <mergeCell ref="AN204:AR204"/>
    <mergeCell ref="AS204:AZ204"/>
    <mergeCell ref="BI209:BN209"/>
    <mergeCell ref="A210:B210"/>
    <mergeCell ref="C210:H210"/>
    <mergeCell ref="I210:AK210"/>
    <mergeCell ref="AL210:AM210"/>
    <mergeCell ref="AN210:AR210"/>
    <mergeCell ref="AS210:AZ210"/>
    <mergeCell ref="BA210:BH210"/>
    <mergeCell ref="BI210:BN210"/>
    <mergeCell ref="A208:H208"/>
    <mergeCell ref="I208:AK208"/>
    <mergeCell ref="AL208:BN208"/>
    <mergeCell ref="A209:B209"/>
    <mergeCell ref="C209:H209"/>
    <mergeCell ref="I209:AK209"/>
    <mergeCell ref="AL209:AM209"/>
    <mergeCell ref="AN209:AR209"/>
    <mergeCell ref="AS209:AZ209"/>
    <mergeCell ref="BA209:BH209"/>
    <mergeCell ref="BA213:BH213"/>
    <mergeCell ref="BI213:BN213"/>
    <mergeCell ref="A214:B214"/>
    <mergeCell ref="C214:H214"/>
    <mergeCell ref="I214:AK214"/>
    <mergeCell ref="AL214:AM214"/>
    <mergeCell ref="AN214:AR214"/>
    <mergeCell ref="AS214:AZ214"/>
    <mergeCell ref="BA214:BH214"/>
    <mergeCell ref="BI214:BN214"/>
    <mergeCell ref="A213:B213"/>
    <mergeCell ref="C213:H213"/>
    <mergeCell ref="I213:AK213"/>
    <mergeCell ref="AL213:AM213"/>
    <mergeCell ref="AN213:AR213"/>
    <mergeCell ref="AS213:AZ213"/>
    <mergeCell ref="BA211:BH211"/>
    <mergeCell ref="BI211:BN211"/>
    <mergeCell ref="A212:B212"/>
    <mergeCell ref="C212:H212"/>
    <mergeCell ref="I212:AK212"/>
    <mergeCell ref="AL212:AM212"/>
    <mergeCell ref="AN212:AR212"/>
    <mergeCell ref="AS212:AZ212"/>
    <mergeCell ref="BA212:BH212"/>
    <mergeCell ref="BI212:BN212"/>
    <mergeCell ref="A211:B211"/>
    <mergeCell ref="C211:H211"/>
    <mergeCell ref="I211:AK211"/>
    <mergeCell ref="AL211:AM211"/>
    <mergeCell ref="AN211:AR211"/>
    <mergeCell ref="AS211:AZ211"/>
    <mergeCell ref="BI216:BN216"/>
    <mergeCell ref="A217:B217"/>
    <mergeCell ref="C217:H217"/>
    <mergeCell ref="I217:AK217"/>
    <mergeCell ref="AL217:AM217"/>
    <mergeCell ref="AN217:AR217"/>
    <mergeCell ref="AS217:AZ217"/>
    <mergeCell ref="BA217:BH217"/>
    <mergeCell ref="BI217:BN217"/>
    <mergeCell ref="A215:H215"/>
    <mergeCell ref="I215:AK215"/>
    <mergeCell ref="AL215:BN215"/>
    <mergeCell ref="A216:B216"/>
    <mergeCell ref="C216:H216"/>
    <mergeCell ref="I216:AK216"/>
    <mergeCell ref="AL216:AM216"/>
    <mergeCell ref="AN216:AR216"/>
    <mergeCell ref="AS216:AZ216"/>
    <mergeCell ref="BA216:BH216"/>
    <mergeCell ref="A220:H220"/>
    <mergeCell ref="I220:AK220"/>
    <mergeCell ref="AL220:BN220"/>
    <mergeCell ref="A221:B221"/>
    <mergeCell ref="C221:H221"/>
    <mergeCell ref="I221:AK221"/>
    <mergeCell ref="AL221:AM221"/>
    <mergeCell ref="AN221:AR221"/>
    <mergeCell ref="AS221:AZ221"/>
    <mergeCell ref="BA221:BH221"/>
    <mergeCell ref="BA218:BH218"/>
    <mergeCell ref="BI218:BN218"/>
    <mergeCell ref="A219:B219"/>
    <mergeCell ref="C219:H219"/>
    <mergeCell ref="I219:AK219"/>
    <mergeCell ref="AL219:AM219"/>
    <mergeCell ref="AN219:AR219"/>
    <mergeCell ref="AS219:AZ219"/>
    <mergeCell ref="BA219:BH219"/>
    <mergeCell ref="BI219:BN219"/>
    <mergeCell ref="A218:B218"/>
    <mergeCell ref="C218:H218"/>
    <mergeCell ref="I218:AK218"/>
    <mergeCell ref="AL218:AM218"/>
    <mergeCell ref="AN218:AR218"/>
    <mergeCell ref="AS218:AZ218"/>
    <mergeCell ref="BA223:BH223"/>
    <mergeCell ref="BI223:BN223"/>
    <mergeCell ref="A224:B224"/>
    <mergeCell ref="C224:H224"/>
    <mergeCell ref="I224:AK224"/>
    <mergeCell ref="AL224:AM224"/>
    <mergeCell ref="AN224:AR224"/>
    <mergeCell ref="AS224:AZ224"/>
    <mergeCell ref="BA224:BH224"/>
    <mergeCell ref="BI224:BN224"/>
    <mergeCell ref="A223:B223"/>
    <mergeCell ref="C223:H223"/>
    <mergeCell ref="I223:AK223"/>
    <mergeCell ref="AL223:AM223"/>
    <mergeCell ref="AN223:AR223"/>
    <mergeCell ref="AS223:AZ223"/>
    <mergeCell ref="BI221:BN221"/>
    <mergeCell ref="A222:B222"/>
    <mergeCell ref="C222:H222"/>
    <mergeCell ref="I222:AK222"/>
    <mergeCell ref="AL222:AM222"/>
    <mergeCell ref="AN222:AR222"/>
    <mergeCell ref="AS222:AZ222"/>
    <mergeCell ref="BA222:BH222"/>
    <mergeCell ref="BI222:BN222"/>
    <mergeCell ref="BA227:BH227"/>
    <mergeCell ref="BI227:BN227"/>
    <mergeCell ref="A228:B228"/>
    <mergeCell ref="C228:H228"/>
    <mergeCell ref="I228:AK228"/>
    <mergeCell ref="AL228:AM228"/>
    <mergeCell ref="AN228:AR228"/>
    <mergeCell ref="AS228:AZ228"/>
    <mergeCell ref="BA228:BH228"/>
    <mergeCell ref="BI228:BN228"/>
    <mergeCell ref="A227:B227"/>
    <mergeCell ref="C227:H227"/>
    <mergeCell ref="I227:AK227"/>
    <mergeCell ref="AL227:AM227"/>
    <mergeCell ref="AN227:AR227"/>
    <mergeCell ref="AS227:AZ227"/>
    <mergeCell ref="BA225:BH225"/>
    <mergeCell ref="BI225:BN225"/>
    <mergeCell ref="A226:B226"/>
    <mergeCell ref="C226:H226"/>
    <mergeCell ref="I226:AK226"/>
    <mergeCell ref="AL226:AM226"/>
    <mergeCell ref="AN226:AR226"/>
    <mergeCell ref="AS226:AZ226"/>
    <mergeCell ref="BA226:BH226"/>
    <mergeCell ref="BI226:BN226"/>
    <mergeCell ref="A225:B225"/>
    <mergeCell ref="C225:H225"/>
    <mergeCell ref="I225:AK225"/>
    <mergeCell ref="AL225:AM225"/>
    <mergeCell ref="AN225:AR225"/>
    <mergeCell ref="AS225:AZ225"/>
    <mergeCell ref="BA231:BH231"/>
    <mergeCell ref="BI231:BN231"/>
    <mergeCell ref="A232:B232"/>
    <mergeCell ref="C232:H232"/>
    <mergeCell ref="I232:AK232"/>
    <mergeCell ref="AL232:AM232"/>
    <mergeCell ref="AN232:AR232"/>
    <mergeCell ref="AS232:AZ232"/>
    <mergeCell ref="BA232:BH232"/>
    <mergeCell ref="BI232:BN232"/>
    <mergeCell ref="A231:B231"/>
    <mergeCell ref="C231:H231"/>
    <mergeCell ref="I231:AK231"/>
    <mergeCell ref="AL231:AM231"/>
    <mergeCell ref="AN231:AR231"/>
    <mergeCell ref="AS231:AZ231"/>
    <mergeCell ref="BA229:BH229"/>
    <mergeCell ref="BI229:BN229"/>
    <mergeCell ref="A230:B230"/>
    <mergeCell ref="C230:H230"/>
    <mergeCell ref="I230:AK230"/>
    <mergeCell ref="AL230:AM230"/>
    <mergeCell ref="AN230:AR230"/>
    <mergeCell ref="AS230:AZ230"/>
    <mergeCell ref="BA230:BH230"/>
    <mergeCell ref="BI230:BN230"/>
    <mergeCell ref="A229:B229"/>
    <mergeCell ref="C229:H229"/>
    <mergeCell ref="I229:AK229"/>
    <mergeCell ref="AL229:AM229"/>
    <mergeCell ref="AN229:AR229"/>
    <mergeCell ref="AS229:AZ229"/>
    <mergeCell ref="BA235:BH235"/>
    <mergeCell ref="BI235:BN235"/>
    <mergeCell ref="A236:B236"/>
    <mergeCell ref="C236:H236"/>
    <mergeCell ref="I236:AK236"/>
    <mergeCell ref="AL236:AM236"/>
    <mergeCell ref="AN236:AR236"/>
    <mergeCell ref="AS236:AZ236"/>
    <mergeCell ref="BA236:BH236"/>
    <mergeCell ref="BI236:BN236"/>
    <mergeCell ref="A235:B235"/>
    <mergeCell ref="C235:H235"/>
    <mergeCell ref="I235:AK235"/>
    <mergeCell ref="AL235:AM235"/>
    <mergeCell ref="AN235:AR235"/>
    <mergeCell ref="AS235:AZ235"/>
    <mergeCell ref="BA233:BH233"/>
    <mergeCell ref="BI233:BN233"/>
    <mergeCell ref="A234:B234"/>
    <mergeCell ref="C234:H234"/>
    <mergeCell ref="I234:AK234"/>
    <mergeCell ref="AL234:AM234"/>
    <mergeCell ref="AN234:AR234"/>
    <mergeCell ref="AS234:AZ234"/>
    <mergeCell ref="BA234:BH234"/>
    <mergeCell ref="BI234:BN234"/>
    <mergeCell ref="A233:B233"/>
    <mergeCell ref="C233:H233"/>
    <mergeCell ref="I233:AK233"/>
    <mergeCell ref="AL233:AM233"/>
    <mergeCell ref="AN233:AR233"/>
    <mergeCell ref="AS233:AZ233"/>
    <mergeCell ref="BA239:BH239"/>
    <mergeCell ref="BI239:BN239"/>
    <mergeCell ref="A240:B240"/>
    <mergeCell ref="C240:H240"/>
    <mergeCell ref="I240:AK240"/>
    <mergeCell ref="AL240:AM240"/>
    <mergeCell ref="AN240:AR240"/>
    <mergeCell ref="AS240:AZ240"/>
    <mergeCell ref="BA240:BH240"/>
    <mergeCell ref="BI240:BN240"/>
    <mergeCell ref="A239:B239"/>
    <mergeCell ref="C239:H239"/>
    <mergeCell ref="I239:AK239"/>
    <mergeCell ref="AL239:AM239"/>
    <mergeCell ref="AN239:AR239"/>
    <mergeCell ref="AS239:AZ239"/>
    <mergeCell ref="BA237:BH237"/>
    <mergeCell ref="BI237:BN237"/>
    <mergeCell ref="A238:B238"/>
    <mergeCell ref="C238:H238"/>
    <mergeCell ref="I238:AK238"/>
    <mergeCell ref="AL238:AM238"/>
    <mergeCell ref="AN238:AR238"/>
    <mergeCell ref="AS238:AZ238"/>
    <mergeCell ref="BA238:BH238"/>
    <mergeCell ref="BI238:BN238"/>
    <mergeCell ref="A237:B237"/>
    <mergeCell ref="C237:H237"/>
    <mergeCell ref="I237:AK237"/>
    <mergeCell ref="AL237:AM237"/>
    <mergeCell ref="AN237:AR237"/>
    <mergeCell ref="AS237:AZ237"/>
    <mergeCell ref="BA243:BH243"/>
    <mergeCell ref="BI243:BN243"/>
    <mergeCell ref="A244:B244"/>
    <mergeCell ref="C244:H244"/>
    <mergeCell ref="I244:AK244"/>
    <mergeCell ref="AL244:AM244"/>
    <mergeCell ref="AN244:AR244"/>
    <mergeCell ref="AS244:AZ244"/>
    <mergeCell ref="BA244:BH244"/>
    <mergeCell ref="BI244:BN244"/>
    <mergeCell ref="A243:B243"/>
    <mergeCell ref="C243:H243"/>
    <mergeCell ref="I243:AK243"/>
    <mergeCell ref="AL243:AM243"/>
    <mergeCell ref="AN243:AR243"/>
    <mergeCell ref="AS243:AZ243"/>
    <mergeCell ref="BA241:BH241"/>
    <mergeCell ref="BI241:BN241"/>
    <mergeCell ref="A242:B242"/>
    <mergeCell ref="C242:H242"/>
    <mergeCell ref="I242:AK242"/>
    <mergeCell ref="AL242:AM242"/>
    <mergeCell ref="AN242:AR242"/>
    <mergeCell ref="AS242:AZ242"/>
    <mergeCell ref="BA242:BH242"/>
    <mergeCell ref="BI242:BN242"/>
    <mergeCell ref="A241:B241"/>
    <mergeCell ref="C241:H241"/>
    <mergeCell ref="I241:AK241"/>
    <mergeCell ref="AL241:AM241"/>
    <mergeCell ref="AN241:AR241"/>
    <mergeCell ref="AS241:AZ241"/>
    <mergeCell ref="BA247:BH247"/>
    <mergeCell ref="BI247:BN247"/>
    <mergeCell ref="A248:B248"/>
    <mergeCell ref="C248:H248"/>
    <mergeCell ref="I248:AK248"/>
    <mergeCell ref="AL248:AM248"/>
    <mergeCell ref="AN248:AR248"/>
    <mergeCell ref="AS248:AZ248"/>
    <mergeCell ref="BA248:BH248"/>
    <mergeCell ref="BI248:BN248"/>
    <mergeCell ref="A247:B247"/>
    <mergeCell ref="C247:H247"/>
    <mergeCell ref="I247:AK247"/>
    <mergeCell ref="AL247:AM247"/>
    <mergeCell ref="AN247:AR247"/>
    <mergeCell ref="AS247:AZ247"/>
    <mergeCell ref="BA245:BH245"/>
    <mergeCell ref="BI245:BN245"/>
    <mergeCell ref="A246:B246"/>
    <mergeCell ref="C246:H246"/>
    <mergeCell ref="I246:AK246"/>
    <mergeCell ref="AL246:AM246"/>
    <mergeCell ref="AN246:AR246"/>
    <mergeCell ref="AS246:AZ246"/>
    <mergeCell ref="BA246:BH246"/>
    <mergeCell ref="BI246:BN246"/>
    <mergeCell ref="A245:B245"/>
    <mergeCell ref="C245:H245"/>
    <mergeCell ref="I245:AK245"/>
    <mergeCell ref="AL245:AM245"/>
    <mergeCell ref="AN245:AR245"/>
    <mergeCell ref="AS245:AZ245"/>
    <mergeCell ref="BI250:BN250"/>
    <mergeCell ref="A251:B251"/>
    <mergeCell ref="C251:H251"/>
    <mergeCell ref="I251:AK251"/>
    <mergeCell ref="AL251:AM251"/>
    <mergeCell ref="AN251:AR251"/>
    <mergeCell ref="AS251:AZ251"/>
    <mergeCell ref="BA251:BH251"/>
    <mergeCell ref="BI251:BN251"/>
    <mergeCell ref="A249:H249"/>
    <mergeCell ref="I249:AK249"/>
    <mergeCell ref="AL249:BN249"/>
    <mergeCell ref="A250:B250"/>
    <mergeCell ref="C250:H250"/>
    <mergeCell ref="I250:AK250"/>
    <mergeCell ref="AL250:AM250"/>
    <mergeCell ref="AN250:AR250"/>
    <mergeCell ref="AS250:AZ250"/>
    <mergeCell ref="BA250:BH250"/>
    <mergeCell ref="BA254:BH254"/>
    <mergeCell ref="BI254:BN254"/>
    <mergeCell ref="A255:B255"/>
    <mergeCell ref="C255:H255"/>
    <mergeCell ref="I255:AK255"/>
    <mergeCell ref="AL255:AM255"/>
    <mergeCell ref="AN255:AR255"/>
    <mergeCell ref="AS255:AZ255"/>
    <mergeCell ref="BA255:BH255"/>
    <mergeCell ref="BI255:BN255"/>
    <mergeCell ref="A254:B254"/>
    <mergeCell ref="C254:H254"/>
    <mergeCell ref="I254:AK254"/>
    <mergeCell ref="AL254:AM254"/>
    <mergeCell ref="AN254:AR254"/>
    <mergeCell ref="AS254:AZ254"/>
    <mergeCell ref="BA252:BH252"/>
    <mergeCell ref="BI252:BN252"/>
    <mergeCell ref="A253:B253"/>
    <mergeCell ref="C253:H253"/>
    <mergeCell ref="I253:AK253"/>
    <mergeCell ref="AL253:AM253"/>
    <mergeCell ref="AN253:AR253"/>
    <mergeCell ref="AS253:AZ253"/>
    <mergeCell ref="BA253:BH253"/>
    <mergeCell ref="BI253:BN253"/>
    <mergeCell ref="A252:B252"/>
    <mergeCell ref="C252:H252"/>
    <mergeCell ref="I252:AK252"/>
    <mergeCell ref="AL252:AM252"/>
    <mergeCell ref="AN252:AR252"/>
    <mergeCell ref="AS252:AZ252"/>
    <mergeCell ref="BA258:BH258"/>
    <mergeCell ref="BI258:BN258"/>
    <mergeCell ref="A259:B259"/>
    <mergeCell ref="C259:H259"/>
    <mergeCell ref="I259:AK259"/>
    <mergeCell ref="AL259:AM259"/>
    <mergeCell ref="AN259:AR259"/>
    <mergeCell ref="AS259:AZ259"/>
    <mergeCell ref="BA259:BH259"/>
    <mergeCell ref="BI259:BN259"/>
    <mergeCell ref="A258:B258"/>
    <mergeCell ref="C258:H258"/>
    <mergeCell ref="I258:AK258"/>
    <mergeCell ref="AL258:AM258"/>
    <mergeCell ref="AN258:AR258"/>
    <mergeCell ref="AS258:AZ258"/>
    <mergeCell ref="BA256:BH256"/>
    <mergeCell ref="BI256:BN256"/>
    <mergeCell ref="A257:B257"/>
    <mergeCell ref="C257:H257"/>
    <mergeCell ref="I257:AK257"/>
    <mergeCell ref="AL257:AM257"/>
    <mergeCell ref="AN257:AR257"/>
    <mergeCell ref="AS257:AZ257"/>
    <mergeCell ref="BA257:BH257"/>
    <mergeCell ref="BI257:BN257"/>
    <mergeCell ref="A256:B256"/>
    <mergeCell ref="C256:H256"/>
    <mergeCell ref="I256:AK256"/>
    <mergeCell ref="AL256:AM256"/>
    <mergeCell ref="AN256:AR256"/>
    <mergeCell ref="AS256:AZ256"/>
    <mergeCell ref="BA262:BH262"/>
    <mergeCell ref="BI262:BN262"/>
    <mergeCell ref="A263:B263"/>
    <mergeCell ref="C263:H263"/>
    <mergeCell ref="I263:AK263"/>
    <mergeCell ref="AL263:AM263"/>
    <mergeCell ref="AN263:AR263"/>
    <mergeCell ref="AS263:AZ263"/>
    <mergeCell ref="BA263:BH263"/>
    <mergeCell ref="BI263:BN263"/>
    <mergeCell ref="A262:B262"/>
    <mergeCell ref="C262:H262"/>
    <mergeCell ref="I262:AK262"/>
    <mergeCell ref="AL262:AM262"/>
    <mergeCell ref="AN262:AR262"/>
    <mergeCell ref="AS262:AZ262"/>
    <mergeCell ref="BA260:BH260"/>
    <mergeCell ref="BI260:BN260"/>
    <mergeCell ref="A261:B261"/>
    <mergeCell ref="C261:H261"/>
    <mergeCell ref="I261:AK261"/>
    <mergeCell ref="AL261:AM261"/>
    <mergeCell ref="AN261:AR261"/>
    <mergeCell ref="AS261:AZ261"/>
    <mergeCell ref="BA261:BH261"/>
    <mergeCell ref="BI261:BN261"/>
    <mergeCell ref="A260:B260"/>
    <mergeCell ref="C260:H260"/>
    <mergeCell ref="I260:AK260"/>
    <mergeCell ref="AL260:AM260"/>
    <mergeCell ref="AN260:AR260"/>
    <mergeCell ref="AS260:AZ260"/>
    <mergeCell ref="A266:H266"/>
    <mergeCell ref="I266:AK266"/>
    <mergeCell ref="AL266:BN266"/>
    <mergeCell ref="A267:B267"/>
    <mergeCell ref="C267:H267"/>
    <mergeCell ref="I267:AK267"/>
    <mergeCell ref="AL267:AM267"/>
    <mergeCell ref="AN267:AR267"/>
    <mergeCell ref="AS267:AZ267"/>
    <mergeCell ref="BA267:BH267"/>
    <mergeCell ref="BA264:BH264"/>
    <mergeCell ref="BI264:BN264"/>
    <mergeCell ref="A265:B265"/>
    <mergeCell ref="C265:H265"/>
    <mergeCell ref="I265:AK265"/>
    <mergeCell ref="AL265:AM265"/>
    <mergeCell ref="AN265:AR265"/>
    <mergeCell ref="AS265:AZ265"/>
    <mergeCell ref="BA265:BH265"/>
    <mergeCell ref="BI265:BN265"/>
    <mergeCell ref="A264:B264"/>
    <mergeCell ref="C264:H264"/>
    <mergeCell ref="I264:AK264"/>
    <mergeCell ref="AL264:AM264"/>
    <mergeCell ref="AN264:AR264"/>
    <mergeCell ref="AS264:AZ264"/>
    <mergeCell ref="BA269:BH269"/>
    <mergeCell ref="BI269:BN269"/>
    <mergeCell ref="A270:B270"/>
    <mergeCell ref="C270:H270"/>
    <mergeCell ref="I270:AK270"/>
    <mergeCell ref="AL270:AM270"/>
    <mergeCell ref="AN270:AR270"/>
    <mergeCell ref="AS270:AZ270"/>
    <mergeCell ref="BA270:BH270"/>
    <mergeCell ref="BI270:BN270"/>
    <mergeCell ref="BI267:BN267"/>
    <mergeCell ref="A268:H268"/>
    <mergeCell ref="I268:AK268"/>
    <mergeCell ref="AL268:BN268"/>
    <mergeCell ref="A269:B269"/>
    <mergeCell ref="C269:H269"/>
    <mergeCell ref="I269:AK269"/>
    <mergeCell ref="AL269:AM269"/>
    <mergeCell ref="AN269:AR269"/>
    <mergeCell ref="AS269:AZ269"/>
    <mergeCell ref="BI272:BN272"/>
    <mergeCell ref="A273:B273"/>
    <mergeCell ref="C273:H273"/>
    <mergeCell ref="I273:AK273"/>
    <mergeCell ref="AL273:AM273"/>
    <mergeCell ref="AN273:AR273"/>
    <mergeCell ref="AS273:AZ273"/>
    <mergeCell ref="BA273:BH273"/>
    <mergeCell ref="BI273:BN273"/>
    <mergeCell ref="A271:H271"/>
    <mergeCell ref="I271:AK271"/>
    <mergeCell ref="AL271:BN271"/>
    <mergeCell ref="A272:B272"/>
    <mergeCell ref="C272:H272"/>
    <mergeCell ref="I272:AK272"/>
    <mergeCell ref="AL272:AM272"/>
    <mergeCell ref="AN272:AR272"/>
    <mergeCell ref="AS272:AZ272"/>
    <mergeCell ref="BA272:BH272"/>
    <mergeCell ref="BI275:BN275"/>
    <mergeCell ref="A276:B276"/>
    <mergeCell ref="C276:H276"/>
    <mergeCell ref="I276:AK276"/>
    <mergeCell ref="AL276:AM276"/>
    <mergeCell ref="AN276:AR276"/>
    <mergeCell ref="AS276:AZ276"/>
    <mergeCell ref="BA276:BH276"/>
    <mergeCell ref="BI276:BN276"/>
    <mergeCell ref="A274:H274"/>
    <mergeCell ref="I274:AK274"/>
    <mergeCell ref="AL274:BN274"/>
    <mergeCell ref="A275:B275"/>
    <mergeCell ref="C275:H275"/>
    <mergeCell ref="I275:AK275"/>
    <mergeCell ref="AL275:AM275"/>
    <mergeCell ref="AN275:AR275"/>
    <mergeCell ref="AS275:AZ275"/>
    <mergeCell ref="BA275:BH275"/>
    <mergeCell ref="AS279:AZ279"/>
    <mergeCell ref="BA279:BH279"/>
    <mergeCell ref="BI279:BN279"/>
    <mergeCell ref="A280:B280"/>
    <mergeCell ref="C280:H280"/>
    <mergeCell ref="I280:AK280"/>
    <mergeCell ref="AL280:AM280"/>
    <mergeCell ref="AN280:AR280"/>
    <mergeCell ref="AS280:AZ280"/>
    <mergeCell ref="BA280:BH280"/>
    <mergeCell ref="BA277:BH277"/>
    <mergeCell ref="BI277:BN277"/>
    <mergeCell ref="A278:H278"/>
    <mergeCell ref="I278:AK278"/>
    <mergeCell ref="AL278:BN278"/>
    <mergeCell ref="A279:B279"/>
    <mergeCell ref="C279:H279"/>
    <mergeCell ref="I279:AK279"/>
    <mergeCell ref="AL279:AM279"/>
    <mergeCell ref="AN279:AR279"/>
    <mergeCell ref="A277:B277"/>
    <mergeCell ref="C277:H277"/>
    <mergeCell ref="I277:AK277"/>
    <mergeCell ref="AL277:AM277"/>
    <mergeCell ref="AN277:AR277"/>
    <mergeCell ref="AS277:AZ277"/>
    <mergeCell ref="BA282:BH282"/>
    <mergeCell ref="BI282:BN282"/>
    <mergeCell ref="A283:H283"/>
    <mergeCell ref="I283:AK283"/>
    <mergeCell ref="AL283:BN283"/>
    <mergeCell ref="A284:B284"/>
    <mergeCell ref="C284:H284"/>
    <mergeCell ref="I284:AK284"/>
    <mergeCell ref="AL284:AM284"/>
    <mergeCell ref="AN284:AR284"/>
    <mergeCell ref="A282:B282"/>
    <mergeCell ref="C282:H282"/>
    <mergeCell ref="I282:AK282"/>
    <mergeCell ref="AL282:AM282"/>
    <mergeCell ref="AN282:AR282"/>
    <mergeCell ref="AS282:AZ282"/>
    <mergeCell ref="BI280:BN280"/>
    <mergeCell ref="A281:B281"/>
    <mergeCell ref="C281:H281"/>
    <mergeCell ref="I281:AK281"/>
    <mergeCell ref="AL281:AM281"/>
    <mergeCell ref="AN281:AR281"/>
    <mergeCell ref="AS281:AZ281"/>
    <mergeCell ref="BA281:BH281"/>
    <mergeCell ref="BI281:BN281"/>
    <mergeCell ref="BI285:BN285"/>
    <mergeCell ref="A286:B286"/>
    <mergeCell ref="C286:H286"/>
    <mergeCell ref="I286:AK286"/>
    <mergeCell ref="AL286:AM286"/>
    <mergeCell ref="AN286:AR286"/>
    <mergeCell ref="AS286:AZ286"/>
    <mergeCell ref="BA286:BH286"/>
    <mergeCell ref="BI286:BN286"/>
    <mergeCell ref="AS284:AZ284"/>
    <mergeCell ref="BA284:BH284"/>
    <mergeCell ref="BI284:BN284"/>
    <mergeCell ref="A285:B285"/>
    <mergeCell ref="C285:H285"/>
    <mergeCell ref="I285:AK285"/>
    <mergeCell ref="AL285:AM285"/>
    <mergeCell ref="AN285:AR285"/>
    <mergeCell ref="AS285:AZ285"/>
    <mergeCell ref="BA285:BH285"/>
    <mergeCell ref="AS290:AZ290"/>
    <mergeCell ref="BA290:BH290"/>
    <mergeCell ref="BA287:BH287"/>
    <mergeCell ref="BI287:BN287"/>
    <mergeCell ref="A288:B288"/>
    <mergeCell ref="C288:H288"/>
    <mergeCell ref="I288:AK288"/>
    <mergeCell ref="AL288:AM288"/>
    <mergeCell ref="AN288:AR288"/>
    <mergeCell ref="AS288:AZ288"/>
    <mergeCell ref="BA288:BH288"/>
    <mergeCell ref="BI288:BN288"/>
    <mergeCell ref="A287:B287"/>
    <mergeCell ref="C287:H287"/>
    <mergeCell ref="I287:AK287"/>
    <mergeCell ref="AL287:AM287"/>
    <mergeCell ref="AN287:AR287"/>
    <mergeCell ref="AS287:AZ287"/>
  </mergeCells>
  <pageMargins left="0.39400000000000002" right="0.39400000000000002" top="0.59099999999999997" bottom="0.59099999999999997" header="0.5" footer="0.5"/>
  <pageSetup paperSize="9" scale="48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8"/>
  <sheetViews>
    <sheetView workbookViewId="0">
      <pane ySplit="10" topLeftCell="A11" activePane="bottomLeft" state="frozenSplit"/>
      <selection pane="bottomLeft" sqref="A1:H1"/>
    </sheetView>
  </sheetViews>
  <sheetFormatPr defaultColWidth="11.5703125" defaultRowHeight="12.75"/>
  <cols>
    <col min="1" max="2" width="9.140625" customWidth="1"/>
    <col min="3" max="3" width="13.28515625" customWidth="1"/>
    <col min="4" max="4" width="82.85546875" customWidth="1"/>
    <col min="5" max="5" width="14.5703125" customWidth="1"/>
    <col min="6" max="6" width="24.140625" customWidth="1"/>
    <col min="7" max="7" width="15.7109375" customWidth="1"/>
    <col min="8" max="8" width="18.140625" customWidth="1"/>
  </cols>
  <sheetData>
    <row r="1" spans="1:9" ht="72.95" customHeight="1">
      <c r="A1" s="135" t="s">
        <v>671</v>
      </c>
      <c r="B1" s="112"/>
      <c r="C1" s="112"/>
      <c r="D1" s="112"/>
      <c r="E1" s="112"/>
      <c r="F1" s="112"/>
      <c r="G1" s="112"/>
      <c r="H1" s="112"/>
    </row>
    <row r="2" spans="1:9">
      <c r="A2" s="113" t="s">
        <v>1</v>
      </c>
      <c r="B2" s="114"/>
      <c r="C2" s="115" t="str">
        <f>'Stavební rozpočet'!D2</f>
        <v>REVITALIZACE ZELENĚ A ÚPRAVA ZPEVNĚNÝCH PLOCH ZŠ MĚSTO ALBRECHTICE</v>
      </c>
      <c r="D2" s="116"/>
      <c r="E2" s="118" t="s">
        <v>647</v>
      </c>
      <c r="F2" s="118" t="str">
        <f>'Stavební rozpočet'!I2</f>
        <v>Město Albrechtice</v>
      </c>
      <c r="G2" s="114"/>
      <c r="H2" s="136"/>
      <c r="I2" s="7"/>
    </row>
    <row r="3" spans="1:9">
      <c r="A3" s="108"/>
      <c r="B3" s="82"/>
      <c r="C3" s="117"/>
      <c r="D3" s="117"/>
      <c r="E3" s="82"/>
      <c r="F3" s="82"/>
      <c r="G3" s="82"/>
      <c r="H3" s="110"/>
      <c r="I3" s="7"/>
    </row>
    <row r="4" spans="1:9">
      <c r="A4" s="102" t="s">
        <v>2</v>
      </c>
      <c r="B4" s="82"/>
      <c r="C4" s="81" t="str">
        <f>'Stavební rozpočet'!D4</f>
        <v xml:space="preserve"> </v>
      </c>
      <c r="D4" s="82"/>
      <c r="E4" s="81" t="s">
        <v>648</v>
      </c>
      <c r="F4" s="81" t="str">
        <f>'Stavební rozpočet'!I4</f>
        <v xml:space="preserve">Ing. Grigorios Akritidis_x000D_
</v>
      </c>
      <c r="G4" s="82"/>
      <c r="H4" s="110"/>
      <c r="I4" s="7"/>
    </row>
    <row r="5" spans="1:9">
      <c r="A5" s="108"/>
      <c r="B5" s="82"/>
      <c r="C5" s="82"/>
      <c r="D5" s="82"/>
      <c r="E5" s="82"/>
      <c r="F5" s="82"/>
      <c r="G5" s="82"/>
      <c r="H5" s="110"/>
      <c r="I5" s="7"/>
    </row>
    <row r="6" spans="1:9">
      <c r="A6" s="102" t="s">
        <v>3</v>
      </c>
      <c r="B6" s="82"/>
      <c r="C6" s="81" t="str">
        <f>'Stavební rozpočet'!D6</f>
        <v>Město Albrechtice</v>
      </c>
      <c r="D6" s="82"/>
      <c r="E6" s="81" t="s">
        <v>649</v>
      </c>
      <c r="F6" s="81" t="str">
        <f>'Stavební rozpočet'!I6</f>
        <v> </v>
      </c>
      <c r="G6" s="82"/>
      <c r="H6" s="110"/>
      <c r="I6" s="7"/>
    </row>
    <row r="7" spans="1:9">
      <c r="A7" s="108"/>
      <c r="B7" s="82"/>
      <c r="C7" s="82"/>
      <c r="D7" s="82"/>
      <c r="E7" s="82"/>
      <c r="F7" s="82"/>
      <c r="G7" s="82"/>
      <c r="H7" s="110"/>
      <c r="I7" s="7"/>
    </row>
    <row r="8" spans="1:9">
      <c r="A8" s="102" t="s">
        <v>650</v>
      </c>
      <c r="B8" s="82"/>
      <c r="C8" s="81" t="str">
        <f>'Stavební rozpočet'!I8</f>
        <v>Kamil Beck</v>
      </c>
      <c r="D8" s="82"/>
      <c r="E8" s="81" t="s">
        <v>632</v>
      </c>
      <c r="F8" s="81" t="str">
        <f>'Stavební rozpočet'!G8</f>
        <v>02.08.2019</v>
      </c>
      <c r="G8" s="82"/>
      <c r="H8" s="110"/>
      <c r="I8" s="7"/>
    </row>
    <row r="9" spans="1:9">
      <c r="A9" s="132"/>
      <c r="B9" s="133"/>
      <c r="C9" s="133"/>
      <c r="D9" s="133"/>
      <c r="E9" s="133"/>
      <c r="F9" s="133"/>
      <c r="G9" s="133"/>
      <c r="H9" s="134"/>
      <c r="I9" s="7"/>
    </row>
    <row r="10" spans="1:9">
      <c r="A10" s="26" t="s">
        <v>5</v>
      </c>
      <c r="B10" s="29" t="s">
        <v>657</v>
      </c>
      <c r="C10" s="29" t="s">
        <v>223</v>
      </c>
      <c r="D10" s="177" t="s">
        <v>409</v>
      </c>
      <c r="E10" s="178"/>
      <c r="F10" s="29" t="s">
        <v>633</v>
      </c>
      <c r="G10" s="32" t="s">
        <v>644</v>
      </c>
      <c r="H10" s="37" t="s">
        <v>821</v>
      </c>
      <c r="I10" s="21"/>
    </row>
    <row r="11" spans="1:9">
      <c r="A11" s="27"/>
      <c r="B11" s="27"/>
      <c r="C11" s="27" t="s">
        <v>224</v>
      </c>
      <c r="D11" s="179" t="s">
        <v>411</v>
      </c>
      <c r="E11" s="180"/>
      <c r="F11" s="27"/>
      <c r="G11" s="33"/>
      <c r="H11" s="33"/>
    </row>
    <row r="12" spans="1:9">
      <c r="A12" s="1" t="s">
        <v>7</v>
      </c>
      <c r="B12" s="1" t="s">
        <v>658</v>
      </c>
      <c r="C12" s="1" t="s">
        <v>225</v>
      </c>
      <c r="D12" s="142" t="s">
        <v>412</v>
      </c>
      <c r="E12" s="143"/>
      <c r="F12" s="1" t="s">
        <v>634</v>
      </c>
      <c r="G12" s="5">
        <v>1</v>
      </c>
      <c r="H12" s="5">
        <v>0</v>
      </c>
    </row>
    <row r="13" spans="1:9" ht="38.450000000000003" customHeight="1">
      <c r="C13" s="30" t="s">
        <v>660</v>
      </c>
      <c r="D13" s="175" t="s">
        <v>673</v>
      </c>
      <c r="E13" s="176"/>
      <c r="F13" s="176"/>
      <c r="G13" s="176"/>
    </row>
    <row r="14" spans="1:9">
      <c r="A14" s="1" t="s">
        <v>8</v>
      </c>
      <c r="B14" s="1" t="s">
        <v>658</v>
      </c>
      <c r="C14" s="1" t="s">
        <v>226</v>
      </c>
      <c r="D14" s="142" t="s">
        <v>413</v>
      </c>
      <c r="E14" s="143"/>
      <c r="F14" s="1" t="s">
        <v>634</v>
      </c>
      <c r="G14" s="5">
        <v>1</v>
      </c>
      <c r="H14" s="5">
        <v>0</v>
      </c>
    </row>
    <row r="15" spans="1:9">
      <c r="A15" s="1" t="s">
        <v>9</v>
      </c>
      <c r="B15" s="1" t="s">
        <v>658</v>
      </c>
      <c r="C15" s="1" t="s">
        <v>226</v>
      </c>
      <c r="D15" s="142" t="s">
        <v>414</v>
      </c>
      <c r="E15" s="143"/>
      <c r="F15" s="1" t="s">
        <v>634</v>
      </c>
      <c r="G15" s="5">
        <v>1</v>
      </c>
      <c r="H15" s="5">
        <v>0</v>
      </c>
    </row>
    <row r="16" spans="1:9">
      <c r="A16" s="1" t="s">
        <v>10</v>
      </c>
      <c r="B16" s="1" t="s">
        <v>658</v>
      </c>
      <c r="C16" s="1" t="s">
        <v>227</v>
      </c>
      <c r="D16" s="142" t="s">
        <v>415</v>
      </c>
      <c r="E16" s="143"/>
      <c r="F16" s="1" t="s">
        <v>634</v>
      </c>
      <c r="G16" s="5">
        <v>1</v>
      </c>
      <c r="H16" s="5">
        <v>0</v>
      </c>
    </row>
    <row r="17" spans="1:8" ht="115.5" customHeight="1">
      <c r="C17" s="30" t="s">
        <v>660</v>
      </c>
      <c r="D17" s="175" t="s">
        <v>674</v>
      </c>
      <c r="E17" s="176"/>
      <c r="F17" s="176"/>
      <c r="G17" s="176"/>
    </row>
    <row r="18" spans="1:8">
      <c r="A18" s="1" t="s">
        <v>11</v>
      </c>
      <c r="B18" s="1" t="s">
        <v>658</v>
      </c>
      <c r="C18" s="1" t="s">
        <v>228</v>
      </c>
      <c r="D18" s="142" t="s">
        <v>416</v>
      </c>
      <c r="E18" s="143"/>
      <c r="F18" s="1" t="s">
        <v>634</v>
      </c>
      <c r="G18" s="5">
        <v>1</v>
      </c>
      <c r="H18" s="5">
        <v>0</v>
      </c>
    </row>
    <row r="19" spans="1:8" ht="141.19999999999999" customHeight="1">
      <c r="C19" s="30" t="s">
        <v>660</v>
      </c>
      <c r="D19" s="175" t="s">
        <v>675</v>
      </c>
      <c r="E19" s="176"/>
      <c r="F19" s="176"/>
      <c r="G19" s="176"/>
    </row>
    <row r="20" spans="1:8">
      <c r="A20" s="1" t="s">
        <v>12</v>
      </c>
      <c r="B20" s="1" t="s">
        <v>658</v>
      </c>
      <c r="C20" s="1" t="s">
        <v>229</v>
      </c>
      <c r="D20" s="142" t="s">
        <v>417</v>
      </c>
      <c r="E20" s="143"/>
      <c r="F20" s="1" t="s">
        <v>634</v>
      </c>
      <c r="G20" s="5">
        <v>1</v>
      </c>
      <c r="H20" s="5">
        <v>0</v>
      </c>
    </row>
    <row r="21" spans="1:8" ht="12.95" customHeight="1">
      <c r="C21" s="30" t="s">
        <v>660</v>
      </c>
      <c r="D21" s="175" t="s">
        <v>676</v>
      </c>
      <c r="E21" s="176"/>
      <c r="F21" s="176"/>
      <c r="G21" s="176"/>
    </row>
    <row r="22" spans="1:8">
      <c r="A22" s="1" t="s">
        <v>13</v>
      </c>
      <c r="B22" s="1" t="s">
        <v>658</v>
      </c>
      <c r="C22" s="1" t="s">
        <v>230</v>
      </c>
      <c r="D22" s="142" t="s">
        <v>418</v>
      </c>
      <c r="E22" s="143"/>
      <c r="F22" s="1" t="s">
        <v>634</v>
      </c>
      <c r="G22" s="5">
        <v>1</v>
      </c>
      <c r="H22" s="5">
        <v>0</v>
      </c>
    </row>
    <row r="23" spans="1:8">
      <c r="A23" s="1" t="s">
        <v>14</v>
      </c>
      <c r="B23" s="1" t="s">
        <v>658</v>
      </c>
      <c r="C23" s="1" t="s">
        <v>231</v>
      </c>
      <c r="D23" s="142" t="s">
        <v>419</v>
      </c>
      <c r="E23" s="143"/>
      <c r="F23" s="1" t="s">
        <v>634</v>
      </c>
      <c r="G23" s="5">
        <v>1</v>
      </c>
      <c r="H23" s="5">
        <v>0</v>
      </c>
    </row>
    <row r="24" spans="1:8">
      <c r="A24" s="1" t="s">
        <v>15</v>
      </c>
      <c r="B24" s="1" t="s">
        <v>658</v>
      </c>
      <c r="C24" s="1" t="s">
        <v>232</v>
      </c>
      <c r="D24" s="142" t="s">
        <v>420</v>
      </c>
      <c r="E24" s="143"/>
      <c r="F24" s="1" t="s">
        <v>634</v>
      </c>
      <c r="G24" s="5">
        <v>1</v>
      </c>
      <c r="H24" s="5">
        <v>0</v>
      </c>
    </row>
    <row r="25" spans="1:8">
      <c r="A25" s="1" t="s">
        <v>16</v>
      </c>
      <c r="B25" s="1" t="s">
        <v>659</v>
      </c>
      <c r="C25" s="1" t="s">
        <v>225</v>
      </c>
      <c r="D25" s="142" t="s">
        <v>412</v>
      </c>
      <c r="E25" s="143"/>
      <c r="F25" s="1" t="s">
        <v>634</v>
      </c>
      <c r="G25" s="5">
        <v>1</v>
      </c>
      <c r="H25" s="5">
        <v>0</v>
      </c>
    </row>
    <row r="26" spans="1:8" ht="38.450000000000003" customHeight="1">
      <c r="C26" s="30" t="s">
        <v>660</v>
      </c>
      <c r="D26" s="175" t="s">
        <v>673</v>
      </c>
      <c r="E26" s="176"/>
      <c r="F26" s="176"/>
      <c r="G26" s="176"/>
    </row>
    <row r="27" spans="1:8">
      <c r="A27" s="1" t="s">
        <v>17</v>
      </c>
      <c r="B27" s="1" t="s">
        <v>659</v>
      </c>
      <c r="C27" s="1" t="s">
        <v>405</v>
      </c>
      <c r="D27" s="142" t="s">
        <v>413</v>
      </c>
      <c r="E27" s="143"/>
      <c r="F27" s="1" t="s">
        <v>634</v>
      </c>
      <c r="G27" s="5">
        <v>1</v>
      </c>
      <c r="H27" s="5">
        <v>0</v>
      </c>
    </row>
    <row r="28" spans="1:8">
      <c r="A28" s="1" t="s">
        <v>18</v>
      </c>
      <c r="B28" s="1" t="s">
        <v>659</v>
      </c>
      <c r="C28" s="1" t="s">
        <v>226</v>
      </c>
      <c r="D28" s="142" t="s">
        <v>414</v>
      </c>
      <c r="E28" s="143"/>
      <c r="F28" s="1" t="s">
        <v>634</v>
      </c>
      <c r="G28" s="5">
        <v>1</v>
      </c>
      <c r="H28" s="5">
        <v>0</v>
      </c>
    </row>
    <row r="29" spans="1:8">
      <c r="A29" s="1" t="s">
        <v>19</v>
      </c>
      <c r="B29" s="1" t="s">
        <v>659</v>
      </c>
      <c r="C29" s="1" t="s">
        <v>227</v>
      </c>
      <c r="D29" s="142" t="s">
        <v>415</v>
      </c>
      <c r="E29" s="143"/>
      <c r="F29" s="1" t="s">
        <v>634</v>
      </c>
      <c r="G29" s="5">
        <v>1</v>
      </c>
      <c r="H29" s="5">
        <v>0</v>
      </c>
    </row>
    <row r="30" spans="1:8" ht="64.150000000000006" customHeight="1">
      <c r="C30" s="30" t="s">
        <v>660</v>
      </c>
      <c r="D30" s="175" t="s">
        <v>677</v>
      </c>
      <c r="E30" s="176"/>
      <c r="F30" s="176"/>
      <c r="G30" s="176"/>
    </row>
    <row r="31" spans="1:8">
      <c r="A31" s="1" t="s">
        <v>20</v>
      </c>
      <c r="B31" s="1" t="s">
        <v>659</v>
      </c>
      <c r="C31" s="1" t="s">
        <v>228</v>
      </c>
      <c r="D31" s="142" t="s">
        <v>416</v>
      </c>
      <c r="E31" s="143"/>
      <c r="F31" s="1" t="s">
        <v>634</v>
      </c>
      <c r="G31" s="5">
        <v>1</v>
      </c>
      <c r="H31" s="5">
        <v>0</v>
      </c>
    </row>
    <row r="32" spans="1:8" ht="141.19999999999999" customHeight="1">
      <c r="C32" s="30" t="s">
        <v>660</v>
      </c>
      <c r="D32" s="175" t="s">
        <v>675</v>
      </c>
      <c r="E32" s="176"/>
      <c r="F32" s="176"/>
      <c r="G32" s="176"/>
    </row>
    <row r="33" spans="1:8">
      <c r="A33" s="1" t="s">
        <v>21</v>
      </c>
      <c r="B33" s="1" t="s">
        <v>659</v>
      </c>
      <c r="C33" s="1" t="s">
        <v>229</v>
      </c>
      <c r="D33" s="142" t="s">
        <v>417</v>
      </c>
      <c r="E33" s="143"/>
      <c r="F33" s="1" t="s">
        <v>634</v>
      </c>
      <c r="G33" s="5">
        <v>1</v>
      </c>
      <c r="H33" s="5">
        <v>0</v>
      </c>
    </row>
    <row r="34" spans="1:8" ht="12.95" customHeight="1">
      <c r="C34" s="30" t="s">
        <v>660</v>
      </c>
      <c r="D34" s="175" t="s">
        <v>676</v>
      </c>
      <c r="E34" s="176"/>
      <c r="F34" s="176"/>
      <c r="G34" s="176"/>
    </row>
    <row r="35" spans="1:8">
      <c r="A35" s="1" t="s">
        <v>22</v>
      </c>
      <c r="B35" s="1" t="s">
        <v>659</v>
      </c>
      <c r="C35" s="1" t="s">
        <v>231</v>
      </c>
      <c r="D35" s="142" t="s">
        <v>419</v>
      </c>
      <c r="E35" s="143"/>
      <c r="F35" s="1" t="s">
        <v>634</v>
      </c>
      <c r="G35" s="5">
        <v>1</v>
      </c>
      <c r="H35" s="5">
        <v>0</v>
      </c>
    </row>
    <row r="36" spans="1:8">
      <c r="A36" s="1" t="s">
        <v>23</v>
      </c>
      <c r="B36" s="1" t="s">
        <v>659</v>
      </c>
      <c r="C36" s="1" t="s">
        <v>232</v>
      </c>
      <c r="D36" s="142" t="s">
        <v>420</v>
      </c>
      <c r="E36" s="143"/>
      <c r="F36" s="1" t="s">
        <v>634</v>
      </c>
      <c r="G36" s="5">
        <v>1</v>
      </c>
      <c r="H36" s="5">
        <v>0</v>
      </c>
    </row>
    <row r="37" spans="1:8">
      <c r="A37" s="1" t="s">
        <v>24</v>
      </c>
      <c r="B37" s="1" t="s">
        <v>658</v>
      </c>
      <c r="C37" s="1" t="s">
        <v>233</v>
      </c>
      <c r="D37" s="142" t="s">
        <v>421</v>
      </c>
      <c r="E37" s="143"/>
      <c r="F37" s="1" t="s">
        <v>634</v>
      </c>
      <c r="G37" s="5">
        <v>1</v>
      </c>
      <c r="H37" s="5">
        <v>0</v>
      </c>
    </row>
    <row r="38" spans="1:8">
      <c r="A38" s="1" t="s">
        <v>25</v>
      </c>
      <c r="B38" s="1" t="s">
        <v>659</v>
      </c>
      <c r="C38" s="1" t="s">
        <v>233</v>
      </c>
      <c r="D38" s="142" t="s">
        <v>623</v>
      </c>
      <c r="E38" s="143"/>
      <c r="F38" s="1" t="s">
        <v>634</v>
      </c>
      <c r="G38" s="5">
        <v>1</v>
      </c>
      <c r="H38" s="5">
        <v>0</v>
      </c>
    </row>
    <row r="39" spans="1:8">
      <c r="A39" s="28"/>
      <c r="B39" s="28"/>
      <c r="C39" s="28" t="s">
        <v>17</v>
      </c>
      <c r="D39" s="171" t="s">
        <v>422</v>
      </c>
      <c r="E39" s="172"/>
      <c r="F39" s="28"/>
      <c r="G39" s="34"/>
      <c r="H39" s="34"/>
    </row>
    <row r="40" spans="1:8">
      <c r="A40" s="1" t="s">
        <v>26</v>
      </c>
      <c r="B40" s="1" t="s">
        <v>658</v>
      </c>
      <c r="C40" s="1" t="s">
        <v>234</v>
      </c>
      <c r="D40" s="142" t="s">
        <v>423</v>
      </c>
      <c r="E40" s="143"/>
      <c r="F40" s="1" t="s">
        <v>635</v>
      </c>
      <c r="G40" s="5">
        <v>210.5</v>
      </c>
      <c r="H40" s="5">
        <v>0</v>
      </c>
    </row>
    <row r="41" spans="1:8">
      <c r="A41" s="1" t="s">
        <v>27</v>
      </c>
      <c r="B41" s="1" t="s">
        <v>658</v>
      </c>
      <c r="C41" s="1" t="s">
        <v>235</v>
      </c>
      <c r="D41" s="142" t="s">
        <v>424</v>
      </c>
      <c r="E41" s="143"/>
      <c r="F41" s="1" t="s">
        <v>636</v>
      </c>
      <c r="G41" s="5">
        <v>930</v>
      </c>
      <c r="H41" s="5">
        <v>0</v>
      </c>
    </row>
    <row r="42" spans="1:8">
      <c r="A42" s="1" t="s">
        <v>28</v>
      </c>
      <c r="B42" s="1" t="s">
        <v>658</v>
      </c>
      <c r="C42" s="1" t="s">
        <v>236</v>
      </c>
      <c r="D42" s="142" t="s">
        <v>425</v>
      </c>
      <c r="E42" s="143"/>
      <c r="F42" s="1" t="s">
        <v>636</v>
      </c>
      <c r="G42" s="5">
        <v>930</v>
      </c>
      <c r="H42" s="5">
        <v>0</v>
      </c>
    </row>
    <row r="43" spans="1:8" ht="38.450000000000003" customHeight="1">
      <c r="C43" s="31" t="s">
        <v>672</v>
      </c>
      <c r="D43" s="167" t="s">
        <v>678</v>
      </c>
      <c r="E43" s="168"/>
      <c r="F43" s="168"/>
      <c r="G43" s="168"/>
    </row>
    <row r="44" spans="1:8">
      <c r="A44" s="1" t="s">
        <v>29</v>
      </c>
      <c r="B44" s="1" t="s">
        <v>659</v>
      </c>
      <c r="C44" s="1" t="s">
        <v>234</v>
      </c>
      <c r="D44" s="142" t="s">
        <v>423</v>
      </c>
      <c r="E44" s="143"/>
      <c r="F44" s="1" t="s">
        <v>635</v>
      </c>
      <c r="G44" s="5">
        <v>78</v>
      </c>
      <c r="H44" s="5">
        <v>0</v>
      </c>
    </row>
    <row r="45" spans="1:8">
      <c r="A45" s="1" t="s">
        <v>30</v>
      </c>
      <c r="B45" s="1" t="s">
        <v>659</v>
      </c>
      <c r="C45" s="1" t="s">
        <v>235</v>
      </c>
      <c r="D45" s="142" t="s">
        <v>424</v>
      </c>
      <c r="E45" s="143"/>
      <c r="F45" s="1" t="s">
        <v>636</v>
      </c>
      <c r="G45" s="5">
        <v>390.5</v>
      </c>
      <c r="H45" s="5">
        <v>0</v>
      </c>
    </row>
    <row r="46" spans="1:8">
      <c r="A46" s="1" t="s">
        <v>31</v>
      </c>
      <c r="B46" s="1" t="s">
        <v>659</v>
      </c>
      <c r="C46" s="1" t="s">
        <v>236</v>
      </c>
      <c r="D46" s="142" t="s">
        <v>425</v>
      </c>
      <c r="E46" s="143"/>
      <c r="F46" s="1" t="s">
        <v>636</v>
      </c>
      <c r="G46" s="5">
        <v>390.5</v>
      </c>
      <c r="H46" s="5">
        <v>0</v>
      </c>
    </row>
    <row r="47" spans="1:8" ht="38.450000000000003" customHeight="1">
      <c r="C47" s="31" t="s">
        <v>672</v>
      </c>
      <c r="D47" s="167" t="s">
        <v>678</v>
      </c>
      <c r="E47" s="168"/>
      <c r="F47" s="168"/>
      <c r="G47" s="168"/>
    </row>
    <row r="48" spans="1:8">
      <c r="A48" s="1" t="s">
        <v>32</v>
      </c>
      <c r="B48" s="1" t="s">
        <v>658</v>
      </c>
      <c r="C48" s="1" t="s">
        <v>237</v>
      </c>
      <c r="D48" s="142" t="s">
        <v>426</v>
      </c>
      <c r="E48" s="143"/>
      <c r="F48" s="1" t="s">
        <v>636</v>
      </c>
      <c r="G48" s="5">
        <v>59.25</v>
      </c>
      <c r="H48" s="5">
        <v>0</v>
      </c>
    </row>
    <row r="49" spans="1:8" ht="12.2" customHeight="1">
      <c r="A49" s="1"/>
      <c r="B49" s="1"/>
      <c r="C49" s="1"/>
      <c r="D49" s="169" t="s">
        <v>679</v>
      </c>
      <c r="E49" s="170"/>
      <c r="F49" s="169"/>
      <c r="G49" s="35">
        <v>19.25</v>
      </c>
      <c r="H49" s="38"/>
    </row>
    <row r="50" spans="1:8" ht="12.2" customHeight="1">
      <c r="A50" s="1"/>
      <c r="B50" s="1"/>
      <c r="C50" s="1"/>
      <c r="D50" s="169" t="s">
        <v>680</v>
      </c>
      <c r="E50" s="170"/>
      <c r="F50" s="169"/>
      <c r="G50" s="35">
        <v>40</v>
      </c>
      <c r="H50" s="38"/>
    </row>
    <row r="51" spans="1:8" ht="25.7" customHeight="1">
      <c r="C51" s="31" t="s">
        <v>672</v>
      </c>
      <c r="D51" s="167" t="s">
        <v>681</v>
      </c>
      <c r="E51" s="168"/>
      <c r="F51" s="168"/>
      <c r="G51" s="168"/>
    </row>
    <row r="52" spans="1:8">
      <c r="A52" s="1" t="s">
        <v>33</v>
      </c>
      <c r="B52" s="1" t="s">
        <v>658</v>
      </c>
      <c r="C52" s="1" t="s">
        <v>238</v>
      </c>
      <c r="D52" s="142" t="s">
        <v>427</v>
      </c>
      <c r="E52" s="143"/>
      <c r="F52" s="1" t="s">
        <v>637</v>
      </c>
      <c r="G52" s="5">
        <v>9</v>
      </c>
      <c r="H52" s="5">
        <v>0</v>
      </c>
    </row>
    <row r="53" spans="1:8">
      <c r="A53" s="1" t="s">
        <v>34</v>
      </c>
      <c r="B53" s="1" t="s">
        <v>658</v>
      </c>
      <c r="C53" s="1" t="s">
        <v>239</v>
      </c>
      <c r="D53" s="142" t="s">
        <v>428</v>
      </c>
      <c r="E53" s="143"/>
      <c r="F53" s="1" t="s">
        <v>637</v>
      </c>
      <c r="G53" s="5">
        <v>9</v>
      </c>
      <c r="H53" s="5">
        <v>0</v>
      </c>
    </row>
    <row r="54" spans="1:8">
      <c r="A54" s="28"/>
      <c r="B54" s="28"/>
      <c r="C54" s="28" t="s">
        <v>18</v>
      </c>
      <c r="D54" s="171" t="s">
        <v>429</v>
      </c>
      <c r="E54" s="172"/>
      <c r="F54" s="28"/>
      <c r="G54" s="34"/>
      <c r="H54" s="34"/>
    </row>
    <row r="55" spans="1:8">
      <c r="A55" s="1" t="s">
        <v>35</v>
      </c>
      <c r="B55" s="1" t="s">
        <v>658</v>
      </c>
      <c r="C55" s="1" t="s">
        <v>240</v>
      </c>
      <c r="D55" s="142" t="s">
        <v>430</v>
      </c>
      <c r="E55" s="143"/>
      <c r="F55" s="1" t="s">
        <v>638</v>
      </c>
      <c r="G55" s="5">
        <v>18.25</v>
      </c>
      <c r="H55" s="5">
        <v>0</v>
      </c>
    </row>
    <row r="56" spans="1:8" ht="12.2" customHeight="1">
      <c r="A56" s="1"/>
      <c r="B56" s="1"/>
      <c r="C56" s="1"/>
      <c r="D56" s="169" t="s">
        <v>682</v>
      </c>
      <c r="E56" s="170"/>
      <c r="F56" s="169"/>
      <c r="G56" s="35">
        <v>10.25</v>
      </c>
      <c r="H56" s="38"/>
    </row>
    <row r="57" spans="1:8" ht="12.2" customHeight="1">
      <c r="A57" s="1"/>
      <c r="B57" s="1"/>
      <c r="C57" s="1"/>
      <c r="D57" s="169" t="s">
        <v>683</v>
      </c>
      <c r="E57" s="170"/>
      <c r="F57" s="169"/>
      <c r="G57" s="35">
        <v>8</v>
      </c>
      <c r="H57" s="38"/>
    </row>
    <row r="58" spans="1:8" ht="77.099999999999994" customHeight="1">
      <c r="C58" s="31" t="s">
        <v>672</v>
      </c>
      <c r="D58" s="167" t="s">
        <v>684</v>
      </c>
      <c r="E58" s="168"/>
      <c r="F58" s="168"/>
      <c r="G58" s="168"/>
    </row>
    <row r="59" spans="1:8" ht="77.099999999999994" customHeight="1">
      <c r="D59" s="167" t="s">
        <v>685</v>
      </c>
      <c r="E59" s="168"/>
      <c r="F59" s="168"/>
      <c r="G59" s="168"/>
    </row>
    <row r="60" spans="1:8" ht="77.099999999999994" customHeight="1">
      <c r="D60" s="167" t="s">
        <v>686</v>
      </c>
      <c r="E60" s="168"/>
      <c r="F60" s="168"/>
      <c r="G60" s="168"/>
    </row>
    <row r="61" spans="1:8" ht="25.7" customHeight="1">
      <c r="D61" s="167" t="s">
        <v>687</v>
      </c>
      <c r="E61" s="168"/>
      <c r="F61" s="168"/>
      <c r="G61" s="168"/>
    </row>
    <row r="62" spans="1:8">
      <c r="A62" s="1" t="s">
        <v>36</v>
      </c>
      <c r="B62" s="1" t="s">
        <v>658</v>
      </c>
      <c r="C62" s="1" t="s">
        <v>241</v>
      </c>
      <c r="D62" s="142" t="s">
        <v>431</v>
      </c>
      <c r="E62" s="143"/>
      <c r="F62" s="1" t="s">
        <v>638</v>
      </c>
      <c r="G62" s="5">
        <v>58.05</v>
      </c>
      <c r="H62" s="5">
        <v>0</v>
      </c>
    </row>
    <row r="63" spans="1:8" ht="12.2" customHeight="1">
      <c r="A63" s="1"/>
      <c r="B63" s="1"/>
      <c r="C63" s="1"/>
      <c r="D63" s="169" t="s">
        <v>688</v>
      </c>
      <c r="E63" s="170"/>
      <c r="F63" s="169"/>
      <c r="G63" s="35">
        <v>42.05</v>
      </c>
      <c r="H63" s="38"/>
    </row>
    <row r="64" spans="1:8" ht="12.2" customHeight="1">
      <c r="A64" s="1"/>
      <c r="B64" s="1"/>
      <c r="C64" s="1"/>
      <c r="D64" s="169" t="s">
        <v>689</v>
      </c>
      <c r="E64" s="170"/>
      <c r="F64" s="169"/>
      <c r="G64" s="35">
        <v>16</v>
      </c>
      <c r="H64" s="38"/>
    </row>
    <row r="65" spans="1:8">
      <c r="A65" s="1" t="s">
        <v>37</v>
      </c>
      <c r="B65" s="1" t="s">
        <v>659</v>
      </c>
      <c r="C65" s="1" t="s">
        <v>240</v>
      </c>
      <c r="D65" s="142" t="s">
        <v>430</v>
      </c>
      <c r="E65" s="143"/>
      <c r="F65" s="1" t="s">
        <v>638</v>
      </c>
      <c r="G65" s="5">
        <v>3.35</v>
      </c>
      <c r="H65" s="5">
        <v>0</v>
      </c>
    </row>
    <row r="66" spans="1:8" ht="77.099999999999994" customHeight="1">
      <c r="C66" s="31" t="s">
        <v>672</v>
      </c>
      <c r="D66" s="167" t="s">
        <v>684</v>
      </c>
      <c r="E66" s="168"/>
      <c r="F66" s="168"/>
      <c r="G66" s="168"/>
    </row>
    <row r="67" spans="1:8" ht="77.099999999999994" customHeight="1">
      <c r="D67" s="167" t="s">
        <v>685</v>
      </c>
      <c r="E67" s="168"/>
      <c r="F67" s="168"/>
      <c r="G67" s="168"/>
    </row>
    <row r="68" spans="1:8" ht="77.099999999999994" customHeight="1">
      <c r="D68" s="167" t="s">
        <v>686</v>
      </c>
      <c r="E68" s="168"/>
      <c r="F68" s="168"/>
      <c r="G68" s="168"/>
    </row>
    <row r="69" spans="1:8" ht="25.7" customHeight="1">
      <c r="D69" s="167" t="s">
        <v>687</v>
      </c>
      <c r="E69" s="168"/>
      <c r="F69" s="168"/>
      <c r="G69" s="168"/>
    </row>
    <row r="70" spans="1:8">
      <c r="A70" s="1" t="s">
        <v>38</v>
      </c>
      <c r="B70" s="1" t="s">
        <v>659</v>
      </c>
      <c r="C70" s="1" t="s">
        <v>241</v>
      </c>
      <c r="D70" s="142" t="s">
        <v>431</v>
      </c>
      <c r="E70" s="143"/>
      <c r="F70" s="1" t="s">
        <v>638</v>
      </c>
      <c r="G70" s="5">
        <v>13.75</v>
      </c>
      <c r="H70" s="5">
        <v>0</v>
      </c>
    </row>
    <row r="71" spans="1:8">
      <c r="A71" s="1" t="s">
        <v>39</v>
      </c>
      <c r="B71" s="1" t="s">
        <v>659</v>
      </c>
      <c r="C71" s="1" t="s">
        <v>242</v>
      </c>
      <c r="D71" s="142" t="s">
        <v>432</v>
      </c>
      <c r="E71" s="143"/>
      <c r="F71" s="1" t="s">
        <v>638</v>
      </c>
      <c r="G71" s="5">
        <v>13.75</v>
      </c>
      <c r="H71" s="5">
        <v>0</v>
      </c>
    </row>
    <row r="72" spans="1:8" ht="12.95" customHeight="1">
      <c r="C72" s="31" t="s">
        <v>672</v>
      </c>
      <c r="D72" s="167" t="s">
        <v>690</v>
      </c>
      <c r="E72" s="168"/>
      <c r="F72" s="168"/>
      <c r="G72" s="168"/>
    </row>
    <row r="73" spans="1:8">
      <c r="A73" s="1" t="s">
        <v>40</v>
      </c>
      <c r="B73" s="1" t="s">
        <v>658</v>
      </c>
      <c r="C73" s="1" t="s">
        <v>242</v>
      </c>
      <c r="D73" s="142" t="s">
        <v>432</v>
      </c>
      <c r="E73" s="143"/>
      <c r="F73" s="1" t="s">
        <v>638</v>
      </c>
      <c r="G73" s="5">
        <v>58.05</v>
      </c>
      <c r="H73" s="5">
        <v>0</v>
      </c>
    </row>
    <row r="74" spans="1:8" ht="12.95" customHeight="1">
      <c r="C74" s="31" t="s">
        <v>672</v>
      </c>
      <c r="D74" s="167" t="s">
        <v>690</v>
      </c>
      <c r="E74" s="168"/>
      <c r="F74" s="168"/>
      <c r="G74" s="168"/>
    </row>
    <row r="75" spans="1:8">
      <c r="A75" s="28"/>
      <c r="B75" s="28"/>
      <c r="C75" s="28" t="s">
        <v>19</v>
      </c>
      <c r="D75" s="171" t="s">
        <v>433</v>
      </c>
      <c r="E75" s="172"/>
      <c r="F75" s="28"/>
      <c r="G75" s="34"/>
      <c r="H75" s="34"/>
    </row>
    <row r="76" spans="1:8">
      <c r="A76" s="1" t="s">
        <v>41</v>
      </c>
      <c r="B76" s="1" t="s">
        <v>658</v>
      </c>
      <c r="C76" s="1" t="s">
        <v>243</v>
      </c>
      <c r="D76" s="142" t="s">
        <v>434</v>
      </c>
      <c r="E76" s="143"/>
      <c r="F76" s="1" t="s">
        <v>638</v>
      </c>
      <c r="G76" s="5">
        <v>5.46</v>
      </c>
      <c r="H76" s="5">
        <v>0</v>
      </c>
    </row>
    <row r="77" spans="1:8" ht="12.2" customHeight="1">
      <c r="A77" s="1"/>
      <c r="B77" s="1"/>
      <c r="C77" s="1"/>
      <c r="D77" s="169" t="s">
        <v>691</v>
      </c>
      <c r="E77" s="170"/>
      <c r="F77" s="169"/>
      <c r="G77" s="35">
        <v>1.05</v>
      </c>
      <c r="H77" s="38"/>
    </row>
    <row r="78" spans="1:8" ht="12.2" customHeight="1">
      <c r="A78" s="1"/>
      <c r="B78" s="1"/>
      <c r="C78" s="1"/>
      <c r="D78" s="169" t="s">
        <v>692</v>
      </c>
      <c r="E78" s="170"/>
      <c r="F78" s="169"/>
      <c r="G78" s="35">
        <v>4.41</v>
      </c>
      <c r="H78" s="38"/>
    </row>
    <row r="79" spans="1:8" ht="38.450000000000003" customHeight="1">
      <c r="C79" s="31" t="s">
        <v>672</v>
      </c>
      <c r="D79" s="167" t="s">
        <v>693</v>
      </c>
      <c r="E79" s="168"/>
      <c r="F79" s="168"/>
      <c r="G79" s="168"/>
    </row>
    <row r="80" spans="1:8">
      <c r="A80" s="1" t="s">
        <v>42</v>
      </c>
      <c r="B80" s="1" t="s">
        <v>659</v>
      </c>
      <c r="C80" s="1" t="s">
        <v>406</v>
      </c>
      <c r="D80" s="142" t="s">
        <v>624</v>
      </c>
      <c r="E80" s="143"/>
      <c r="F80" s="1" t="s">
        <v>638</v>
      </c>
      <c r="G80" s="5">
        <v>3.5</v>
      </c>
      <c r="H80" s="5">
        <v>0</v>
      </c>
    </row>
    <row r="81" spans="1:8" ht="12.95" customHeight="1">
      <c r="C81" s="31" t="s">
        <v>672</v>
      </c>
      <c r="D81" s="167" t="s">
        <v>694</v>
      </c>
      <c r="E81" s="168"/>
      <c r="F81" s="168"/>
      <c r="G81" s="168"/>
    </row>
    <row r="82" spans="1:8">
      <c r="A82" s="1" t="s">
        <v>43</v>
      </c>
      <c r="B82" s="1" t="s">
        <v>658</v>
      </c>
      <c r="C82" s="1" t="s">
        <v>244</v>
      </c>
      <c r="D82" s="142" t="s">
        <v>435</v>
      </c>
      <c r="E82" s="143"/>
      <c r="F82" s="1" t="s">
        <v>638</v>
      </c>
      <c r="G82" s="5">
        <v>5.46</v>
      </c>
      <c r="H82" s="5">
        <v>0</v>
      </c>
    </row>
    <row r="83" spans="1:8" ht="12.95" customHeight="1">
      <c r="C83" s="31" t="s">
        <v>672</v>
      </c>
      <c r="D83" s="167" t="s">
        <v>690</v>
      </c>
      <c r="E83" s="168"/>
      <c r="F83" s="168"/>
      <c r="G83" s="168"/>
    </row>
    <row r="84" spans="1:8">
      <c r="A84" s="28"/>
      <c r="B84" s="28"/>
      <c r="C84" s="28" t="s">
        <v>22</v>
      </c>
      <c r="D84" s="171" t="s">
        <v>436</v>
      </c>
      <c r="E84" s="172"/>
      <c r="F84" s="28"/>
      <c r="G84" s="34"/>
      <c r="H84" s="34"/>
    </row>
    <row r="85" spans="1:8">
      <c r="A85" s="1" t="s">
        <v>44</v>
      </c>
      <c r="B85" s="1" t="s">
        <v>658</v>
      </c>
      <c r="C85" s="1" t="s">
        <v>245</v>
      </c>
      <c r="D85" s="142" t="s">
        <v>437</v>
      </c>
      <c r="E85" s="143"/>
      <c r="F85" s="1" t="s">
        <v>638</v>
      </c>
      <c r="G85" s="5">
        <v>160.58000000000001</v>
      </c>
      <c r="H85" s="5">
        <v>0</v>
      </c>
    </row>
    <row r="86" spans="1:8" ht="12.2" customHeight="1">
      <c r="A86" s="1"/>
      <c r="B86" s="1"/>
      <c r="C86" s="1"/>
      <c r="D86" s="169" t="s">
        <v>695</v>
      </c>
      <c r="E86" s="170"/>
      <c r="F86" s="169"/>
      <c r="G86" s="35">
        <v>80.290000000000006</v>
      </c>
      <c r="H86" s="38"/>
    </row>
    <row r="87" spans="1:8" ht="12.2" customHeight="1">
      <c r="A87" s="1"/>
      <c r="B87" s="1"/>
      <c r="C87" s="1"/>
      <c r="D87" s="169" t="s">
        <v>696</v>
      </c>
      <c r="E87" s="170"/>
      <c r="F87" s="169"/>
      <c r="G87" s="35">
        <v>80.290000000000006</v>
      </c>
      <c r="H87" s="38"/>
    </row>
    <row r="88" spans="1:8">
      <c r="A88" s="1" t="s">
        <v>45</v>
      </c>
      <c r="B88" s="1" t="s">
        <v>658</v>
      </c>
      <c r="C88" s="1" t="s">
        <v>246</v>
      </c>
      <c r="D88" s="142" t="s">
        <v>438</v>
      </c>
      <c r="E88" s="143"/>
      <c r="F88" s="1" t="s">
        <v>638</v>
      </c>
      <c r="G88" s="5">
        <v>80.290000000000006</v>
      </c>
      <c r="H88" s="5">
        <v>0</v>
      </c>
    </row>
    <row r="89" spans="1:8" ht="12.2" customHeight="1">
      <c r="A89" s="1"/>
      <c r="B89" s="1"/>
      <c r="C89" s="1"/>
      <c r="D89" s="169" t="s">
        <v>697</v>
      </c>
      <c r="E89" s="170"/>
      <c r="F89" s="169"/>
      <c r="G89" s="35">
        <v>80.290000000000006</v>
      </c>
      <c r="H89" s="38"/>
    </row>
    <row r="90" spans="1:8">
      <c r="A90" s="1" t="s">
        <v>46</v>
      </c>
      <c r="B90" s="1" t="s">
        <v>659</v>
      </c>
      <c r="C90" s="1" t="s">
        <v>245</v>
      </c>
      <c r="D90" s="142" t="s">
        <v>437</v>
      </c>
      <c r="E90" s="143"/>
      <c r="F90" s="1" t="s">
        <v>638</v>
      </c>
      <c r="G90" s="5">
        <v>34.200000000000003</v>
      </c>
      <c r="H90" s="5">
        <v>0</v>
      </c>
    </row>
    <row r="91" spans="1:8" ht="12.2" customHeight="1">
      <c r="A91" s="1"/>
      <c r="B91" s="1"/>
      <c r="C91" s="1"/>
      <c r="D91" s="169" t="s">
        <v>698</v>
      </c>
      <c r="E91" s="170"/>
      <c r="F91" s="169"/>
      <c r="G91" s="35">
        <v>17.100000000000001</v>
      </c>
      <c r="H91" s="38"/>
    </row>
    <row r="92" spans="1:8" ht="12.2" customHeight="1">
      <c r="A92" s="1"/>
      <c r="B92" s="1"/>
      <c r="C92" s="1"/>
      <c r="D92" s="169" t="s">
        <v>699</v>
      </c>
      <c r="E92" s="170"/>
      <c r="F92" s="169"/>
      <c r="G92" s="35">
        <v>17.100000000000001</v>
      </c>
      <c r="H92" s="38"/>
    </row>
    <row r="93" spans="1:8">
      <c r="A93" s="1" t="s">
        <v>47</v>
      </c>
      <c r="B93" s="1" t="s">
        <v>658</v>
      </c>
      <c r="C93" s="1" t="s">
        <v>247</v>
      </c>
      <c r="D93" s="142" t="s">
        <v>439</v>
      </c>
      <c r="E93" s="143"/>
      <c r="F93" s="1" t="s">
        <v>637</v>
      </c>
      <c r="G93" s="5">
        <v>9</v>
      </c>
      <c r="H93" s="5">
        <v>0</v>
      </c>
    </row>
    <row r="94" spans="1:8">
      <c r="A94" s="1" t="s">
        <v>48</v>
      </c>
      <c r="B94" s="1" t="s">
        <v>658</v>
      </c>
      <c r="C94" s="1" t="s">
        <v>248</v>
      </c>
      <c r="D94" s="142" t="s">
        <v>440</v>
      </c>
      <c r="E94" s="143"/>
      <c r="F94" s="1" t="s">
        <v>637</v>
      </c>
      <c r="G94" s="5">
        <v>9</v>
      </c>
      <c r="H94" s="5">
        <v>0</v>
      </c>
    </row>
    <row r="95" spans="1:8">
      <c r="A95" s="1" t="s">
        <v>49</v>
      </c>
      <c r="B95" s="1" t="s">
        <v>658</v>
      </c>
      <c r="C95" s="1" t="s">
        <v>249</v>
      </c>
      <c r="D95" s="142" t="s">
        <v>441</v>
      </c>
      <c r="E95" s="143"/>
      <c r="F95" s="1" t="s">
        <v>637</v>
      </c>
      <c r="G95" s="5">
        <v>9</v>
      </c>
      <c r="H95" s="5">
        <v>0</v>
      </c>
    </row>
    <row r="96" spans="1:8">
      <c r="A96" s="1" t="s">
        <v>50</v>
      </c>
      <c r="B96" s="1" t="s">
        <v>658</v>
      </c>
      <c r="C96" s="1" t="s">
        <v>250</v>
      </c>
      <c r="D96" s="142" t="s">
        <v>442</v>
      </c>
      <c r="E96" s="143"/>
      <c r="F96" s="1" t="s">
        <v>639</v>
      </c>
      <c r="G96" s="5">
        <v>0.98199999999999998</v>
      </c>
      <c r="H96" s="5">
        <v>0</v>
      </c>
    </row>
    <row r="97" spans="1:8">
      <c r="A97" s="1" t="s">
        <v>51</v>
      </c>
      <c r="B97" s="1" t="s">
        <v>659</v>
      </c>
      <c r="C97" s="1" t="s">
        <v>246</v>
      </c>
      <c r="D97" s="142" t="s">
        <v>438</v>
      </c>
      <c r="E97" s="143"/>
      <c r="F97" s="1" t="s">
        <v>638</v>
      </c>
      <c r="G97" s="5">
        <v>17.100000000000001</v>
      </c>
      <c r="H97" s="5">
        <v>0</v>
      </c>
    </row>
    <row r="98" spans="1:8" ht="12.2" customHeight="1">
      <c r="A98" s="1"/>
      <c r="B98" s="1"/>
      <c r="C98" s="1"/>
      <c r="D98" s="169" t="s">
        <v>700</v>
      </c>
      <c r="E98" s="170"/>
      <c r="F98" s="169"/>
      <c r="G98" s="35">
        <v>17.100000000000001</v>
      </c>
      <c r="H98" s="38"/>
    </row>
    <row r="99" spans="1:8">
      <c r="A99" s="28"/>
      <c r="B99" s="28"/>
      <c r="C99" s="28" t="s">
        <v>23</v>
      </c>
      <c r="D99" s="171" t="s">
        <v>443</v>
      </c>
      <c r="E99" s="172"/>
      <c r="F99" s="28"/>
      <c r="G99" s="34"/>
      <c r="H99" s="34"/>
    </row>
    <row r="100" spans="1:8">
      <c r="A100" s="1" t="s">
        <v>52</v>
      </c>
      <c r="B100" s="1" t="s">
        <v>659</v>
      </c>
      <c r="C100" s="1" t="s">
        <v>252</v>
      </c>
      <c r="D100" s="142" t="s">
        <v>445</v>
      </c>
      <c r="E100" s="143"/>
      <c r="F100" s="1" t="s">
        <v>638</v>
      </c>
      <c r="G100" s="5">
        <v>12</v>
      </c>
      <c r="H100" s="5">
        <v>0</v>
      </c>
    </row>
    <row r="101" spans="1:8" ht="25.7" customHeight="1">
      <c r="C101" s="31" t="s">
        <v>672</v>
      </c>
      <c r="D101" s="167" t="s">
        <v>701</v>
      </c>
      <c r="E101" s="168"/>
      <c r="F101" s="168"/>
      <c r="G101" s="168"/>
    </row>
    <row r="102" spans="1:8">
      <c r="A102" s="2" t="s">
        <v>53</v>
      </c>
      <c r="B102" s="2" t="s">
        <v>659</v>
      </c>
      <c r="C102" s="2" t="s">
        <v>254</v>
      </c>
      <c r="D102" s="155" t="s">
        <v>447</v>
      </c>
      <c r="E102" s="156"/>
      <c r="F102" s="2" t="s">
        <v>639</v>
      </c>
      <c r="G102" s="6">
        <v>1.92</v>
      </c>
      <c r="H102" s="6">
        <v>0</v>
      </c>
    </row>
    <row r="103" spans="1:8" ht="12.2" customHeight="1">
      <c r="A103" s="2"/>
      <c r="B103" s="2"/>
      <c r="C103" s="2"/>
      <c r="D103" s="173" t="s">
        <v>702</v>
      </c>
      <c r="E103" s="174"/>
      <c r="F103" s="173"/>
      <c r="G103" s="36">
        <v>1.92</v>
      </c>
      <c r="H103" s="39"/>
    </row>
    <row r="104" spans="1:8">
      <c r="A104" s="1" t="s">
        <v>54</v>
      </c>
      <c r="B104" s="1" t="s">
        <v>658</v>
      </c>
      <c r="C104" s="1" t="s">
        <v>251</v>
      </c>
      <c r="D104" s="142" t="s">
        <v>444</v>
      </c>
      <c r="E104" s="143"/>
      <c r="F104" s="1" t="s">
        <v>637</v>
      </c>
      <c r="G104" s="5">
        <v>9</v>
      </c>
      <c r="H104" s="5">
        <v>0</v>
      </c>
    </row>
    <row r="105" spans="1:8">
      <c r="A105" s="1" t="s">
        <v>55</v>
      </c>
      <c r="B105" s="1" t="s">
        <v>658</v>
      </c>
      <c r="C105" s="1" t="s">
        <v>252</v>
      </c>
      <c r="D105" s="142" t="s">
        <v>445</v>
      </c>
      <c r="E105" s="143"/>
      <c r="F105" s="1" t="s">
        <v>638</v>
      </c>
      <c r="G105" s="5">
        <v>201.2</v>
      </c>
      <c r="H105" s="5">
        <v>0</v>
      </c>
    </row>
    <row r="106" spans="1:8" ht="12.2" customHeight="1">
      <c r="A106" s="1"/>
      <c r="B106" s="1"/>
      <c r="C106" s="1"/>
      <c r="D106" s="169" t="s">
        <v>703</v>
      </c>
      <c r="E106" s="170"/>
      <c r="F106" s="169"/>
      <c r="G106" s="35">
        <v>25.5</v>
      </c>
      <c r="H106" s="38"/>
    </row>
    <row r="107" spans="1:8" ht="12.2" customHeight="1">
      <c r="A107" s="1"/>
      <c r="B107" s="1"/>
      <c r="C107" s="1"/>
      <c r="D107" s="169" t="s">
        <v>704</v>
      </c>
      <c r="E107" s="170"/>
      <c r="F107" s="169"/>
      <c r="G107" s="35">
        <v>172.5</v>
      </c>
      <c r="H107" s="38"/>
    </row>
    <row r="108" spans="1:8" ht="12.2" customHeight="1">
      <c r="A108" s="1"/>
      <c r="B108" s="1"/>
      <c r="C108" s="1"/>
      <c r="D108" s="169" t="s">
        <v>705</v>
      </c>
      <c r="E108" s="170"/>
      <c r="F108" s="169"/>
      <c r="G108" s="35">
        <v>3.2</v>
      </c>
      <c r="H108" s="38"/>
    </row>
    <row r="109" spans="1:8" ht="25.7" customHeight="1">
      <c r="C109" s="31" t="s">
        <v>672</v>
      </c>
      <c r="D109" s="167" t="s">
        <v>701</v>
      </c>
      <c r="E109" s="168"/>
      <c r="F109" s="168"/>
      <c r="G109" s="168"/>
    </row>
    <row r="110" spans="1:8">
      <c r="A110" s="2" t="s">
        <v>56</v>
      </c>
      <c r="B110" s="2" t="s">
        <v>658</v>
      </c>
      <c r="C110" s="2" t="s">
        <v>254</v>
      </c>
      <c r="D110" s="155" t="s">
        <v>447</v>
      </c>
      <c r="E110" s="156"/>
      <c r="F110" s="2" t="s">
        <v>639</v>
      </c>
      <c r="G110" s="6">
        <v>216.096</v>
      </c>
      <c r="H110" s="6">
        <v>0</v>
      </c>
    </row>
    <row r="111" spans="1:8" ht="12.2" customHeight="1">
      <c r="A111" s="2"/>
      <c r="B111" s="2"/>
      <c r="C111" s="2"/>
      <c r="D111" s="173" t="s">
        <v>706</v>
      </c>
      <c r="E111" s="174"/>
      <c r="F111" s="173"/>
      <c r="G111" s="36">
        <v>216.096</v>
      </c>
      <c r="H111" s="39"/>
    </row>
    <row r="112" spans="1:8">
      <c r="A112" s="28"/>
      <c r="B112" s="28"/>
      <c r="C112" s="28" t="s">
        <v>255</v>
      </c>
      <c r="D112" s="171" t="s">
        <v>448</v>
      </c>
      <c r="E112" s="172"/>
      <c r="F112" s="28"/>
      <c r="G112" s="34"/>
      <c r="H112" s="34"/>
    </row>
    <row r="113" spans="1:8">
      <c r="A113" s="1" t="s">
        <v>57</v>
      </c>
      <c r="B113" s="1" t="s">
        <v>658</v>
      </c>
      <c r="C113" s="1" t="s">
        <v>256</v>
      </c>
      <c r="D113" s="142" t="s">
        <v>449</v>
      </c>
      <c r="E113" s="143"/>
      <c r="F113" s="1" t="s">
        <v>636</v>
      </c>
      <c r="G113" s="5">
        <v>55.5</v>
      </c>
      <c r="H113" s="5">
        <v>0</v>
      </c>
    </row>
    <row r="114" spans="1:8" ht="12.2" customHeight="1">
      <c r="A114" s="1"/>
      <c r="B114" s="1"/>
      <c r="C114" s="1"/>
      <c r="D114" s="169" t="s">
        <v>707</v>
      </c>
      <c r="E114" s="170"/>
      <c r="F114" s="169"/>
      <c r="G114" s="35">
        <v>55.5</v>
      </c>
      <c r="H114" s="38"/>
    </row>
    <row r="115" spans="1:8" ht="25.7" customHeight="1">
      <c r="C115" s="31" t="s">
        <v>672</v>
      </c>
      <c r="D115" s="167" t="s">
        <v>708</v>
      </c>
      <c r="E115" s="168"/>
      <c r="F115" s="168"/>
      <c r="G115" s="168"/>
    </row>
    <row r="116" spans="1:8">
      <c r="A116" s="28"/>
      <c r="B116" s="28"/>
      <c r="C116" s="28" t="s">
        <v>24</v>
      </c>
      <c r="D116" s="171" t="s">
        <v>450</v>
      </c>
      <c r="E116" s="172"/>
      <c r="F116" s="28"/>
      <c r="G116" s="34"/>
      <c r="H116" s="34"/>
    </row>
    <row r="117" spans="1:8">
      <c r="A117" s="1" t="s">
        <v>58</v>
      </c>
      <c r="B117" s="1" t="s">
        <v>658</v>
      </c>
      <c r="C117" s="1" t="s">
        <v>257</v>
      </c>
      <c r="D117" s="142" t="s">
        <v>451</v>
      </c>
      <c r="E117" s="143"/>
      <c r="F117" s="1" t="s">
        <v>636</v>
      </c>
      <c r="G117" s="5">
        <v>2155</v>
      </c>
      <c r="H117" s="5">
        <v>0</v>
      </c>
    </row>
    <row r="118" spans="1:8" ht="12.2" customHeight="1">
      <c r="A118" s="1"/>
      <c r="B118" s="1"/>
      <c r="C118" s="1"/>
      <c r="D118" s="169" t="s">
        <v>709</v>
      </c>
      <c r="E118" s="170"/>
      <c r="F118" s="169"/>
      <c r="G118" s="35">
        <v>2025</v>
      </c>
      <c r="H118" s="38"/>
    </row>
    <row r="119" spans="1:8" ht="12.2" customHeight="1">
      <c r="A119" s="1"/>
      <c r="B119" s="1"/>
      <c r="C119" s="1"/>
      <c r="D119" s="169" t="s">
        <v>710</v>
      </c>
      <c r="E119" s="170"/>
      <c r="F119" s="169"/>
      <c r="G119" s="35">
        <v>130</v>
      </c>
      <c r="H119" s="38"/>
    </row>
    <row r="120" spans="1:8" ht="12.95" customHeight="1">
      <c r="C120" s="31" t="s">
        <v>672</v>
      </c>
      <c r="D120" s="167" t="s">
        <v>711</v>
      </c>
      <c r="E120" s="168"/>
      <c r="F120" s="168"/>
      <c r="G120" s="168"/>
    </row>
    <row r="121" spans="1:8">
      <c r="A121" s="1" t="s">
        <v>59</v>
      </c>
      <c r="B121" s="1" t="s">
        <v>658</v>
      </c>
      <c r="C121" s="1" t="s">
        <v>258</v>
      </c>
      <c r="D121" s="142" t="s">
        <v>452</v>
      </c>
      <c r="E121" s="143"/>
      <c r="F121" s="1" t="s">
        <v>636</v>
      </c>
      <c r="G121" s="5">
        <v>2914</v>
      </c>
      <c r="H121" s="5">
        <v>0</v>
      </c>
    </row>
    <row r="122" spans="1:8" ht="12.2" customHeight="1">
      <c r="A122" s="1"/>
      <c r="B122" s="1"/>
      <c r="C122" s="1"/>
      <c r="D122" s="169" t="s">
        <v>709</v>
      </c>
      <c r="E122" s="170"/>
      <c r="F122" s="169"/>
      <c r="G122" s="35">
        <v>2025</v>
      </c>
      <c r="H122" s="38"/>
    </row>
    <row r="123" spans="1:8" ht="12.2" customHeight="1">
      <c r="A123" s="1"/>
      <c r="B123" s="1"/>
      <c r="C123" s="1"/>
      <c r="D123" s="169" t="s">
        <v>710</v>
      </c>
      <c r="E123" s="170"/>
      <c r="F123" s="169"/>
      <c r="G123" s="35">
        <v>130</v>
      </c>
      <c r="H123" s="38"/>
    </row>
    <row r="124" spans="1:8" ht="12.2" customHeight="1">
      <c r="A124" s="1"/>
      <c r="B124" s="1"/>
      <c r="C124" s="1"/>
      <c r="D124" s="169" t="s">
        <v>712</v>
      </c>
      <c r="E124" s="170"/>
      <c r="F124" s="169"/>
      <c r="G124" s="35">
        <v>33.5</v>
      </c>
      <c r="H124" s="38"/>
    </row>
    <row r="125" spans="1:8" ht="12.2" customHeight="1">
      <c r="A125" s="1"/>
      <c r="B125" s="1"/>
      <c r="C125" s="1"/>
      <c r="D125" s="169" t="s">
        <v>713</v>
      </c>
      <c r="E125" s="170"/>
      <c r="F125" s="169"/>
      <c r="G125" s="35">
        <v>107</v>
      </c>
      <c r="H125" s="38"/>
    </row>
    <row r="126" spans="1:8" ht="12.2" customHeight="1">
      <c r="A126" s="1"/>
      <c r="B126" s="1"/>
      <c r="C126" s="1"/>
      <c r="D126" s="169" t="s">
        <v>714</v>
      </c>
      <c r="E126" s="170"/>
      <c r="F126" s="169"/>
      <c r="G126" s="35">
        <v>206.95</v>
      </c>
      <c r="H126" s="38"/>
    </row>
    <row r="127" spans="1:8" ht="12.2" customHeight="1">
      <c r="A127" s="1"/>
      <c r="B127" s="1"/>
      <c r="C127" s="1"/>
      <c r="D127" s="169" t="s">
        <v>715</v>
      </c>
      <c r="E127" s="170"/>
      <c r="F127" s="169"/>
      <c r="G127" s="35">
        <v>204.3</v>
      </c>
      <c r="H127" s="38"/>
    </row>
    <row r="128" spans="1:8" ht="12.2" customHeight="1">
      <c r="A128" s="1"/>
      <c r="B128" s="1"/>
      <c r="C128" s="1"/>
      <c r="D128" s="169" t="s">
        <v>716</v>
      </c>
      <c r="E128" s="170"/>
      <c r="F128" s="169"/>
      <c r="G128" s="35">
        <v>207.25</v>
      </c>
      <c r="H128" s="38"/>
    </row>
    <row r="129" spans="1:8">
      <c r="A129" s="1" t="s">
        <v>60</v>
      </c>
      <c r="B129" s="1" t="s">
        <v>658</v>
      </c>
      <c r="C129" s="1" t="s">
        <v>259</v>
      </c>
      <c r="D129" s="142" t="s">
        <v>453</v>
      </c>
      <c r="E129" s="143"/>
      <c r="F129" s="1" t="s">
        <v>636</v>
      </c>
      <c r="G129" s="5">
        <v>2914</v>
      </c>
      <c r="H129" s="5">
        <v>0</v>
      </c>
    </row>
    <row r="130" spans="1:8" ht="12.2" customHeight="1">
      <c r="A130" s="1"/>
      <c r="B130" s="1"/>
      <c r="C130" s="1"/>
      <c r="D130" s="169" t="s">
        <v>709</v>
      </c>
      <c r="E130" s="170"/>
      <c r="F130" s="169"/>
      <c r="G130" s="35">
        <v>2025</v>
      </c>
      <c r="H130" s="38"/>
    </row>
    <row r="131" spans="1:8" ht="12.2" customHeight="1">
      <c r="A131" s="1"/>
      <c r="B131" s="1"/>
      <c r="C131" s="1"/>
      <c r="D131" s="169" t="s">
        <v>710</v>
      </c>
      <c r="E131" s="170"/>
      <c r="F131" s="169"/>
      <c r="G131" s="35">
        <v>130</v>
      </c>
      <c r="H131" s="38"/>
    </row>
    <row r="132" spans="1:8" ht="12.2" customHeight="1">
      <c r="A132" s="1"/>
      <c r="B132" s="1"/>
      <c r="C132" s="1"/>
      <c r="D132" s="169" t="s">
        <v>712</v>
      </c>
      <c r="E132" s="170"/>
      <c r="F132" s="169"/>
      <c r="G132" s="35">
        <v>33.5</v>
      </c>
      <c r="H132" s="38"/>
    </row>
    <row r="133" spans="1:8" ht="12.2" customHeight="1">
      <c r="A133" s="1"/>
      <c r="B133" s="1"/>
      <c r="C133" s="1"/>
      <c r="D133" s="169" t="s">
        <v>713</v>
      </c>
      <c r="E133" s="170"/>
      <c r="F133" s="169"/>
      <c r="G133" s="35">
        <v>107</v>
      </c>
      <c r="H133" s="38"/>
    </row>
    <row r="134" spans="1:8" ht="12.2" customHeight="1">
      <c r="A134" s="1"/>
      <c r="B134" s="1"/>
      <c r="C134" s="1"/>
      <c r="D134" s="169" t="s">
        <v>714</v>
      </c>
      <c r="E134" s="170"/>
      <c r="F134" s="169"/>
      <c r="G134" s="35">
        <v>206.95</v>
      </c>
      <c r="H134" s="38"/>
    </row>
    <row r="135" spans="1:8" ht="12.2" customHeight="1">
      <c r="A135" s="1"/>
      <c r="B135" s="1"/>
      <c r="C135" s="1"/>
      <c r="D135" s="169" t="s">
        <v>715</v>
      </c>
      <c r="E135" s="170"/>
      <c r="F135" s="169"/>
      <c r="G135" s="35">
        <v>204.3</v>
      </c>
      <c r="H135" s="38"/>
    </row>
    <row r="136" spans="1:8" ht="12.2" customHeight="1">
      <c r="A136" s="1"/>
      <c r="B136" s="1"/>
      <c r="C136" s="1"/>
      <c r="D136" s="169" t="s">
        <v>716</v>
      </c>
      <c r="E136" s="170"/>
      <c r="F136" s="169"/>
      <c r="G136" s="35">
        <v>207.25</v>
      </c>
      <c r="H136" s="38"/>
    </row>
    <row r="137" spans="1:8">
      <c r="A137" s="2" t="s">
        <v>61</v>
      </c>
      <c r="B137" s="2" t="s">
        <v>658</v>
      </c>
      <c r="C137" s="2" t="s">
        <v>260</v>
      </c>
      <c r="D137" s="155" t="s">
        <v>454</v>
      </c>
      <c r="E137" s="156"/>
      <c r="F137" s="2" t="s">
        <v>640</v>
      </c>
      <c r="G137" s="6">
        <v>64.650000000000006</v>
      </c>
      <c r="H137" s="6">
        <v>0</v>
      </c>
    </row>
    <row r="138" spans="1:8" ht="12.2" customHeight="1">
      <c r="A138" s="2"/>
      <c r="B138" s="2"/>
      <c r="C138" s="2"/>
      <c r="D138" s="173" t="s">
        <v>717</v>
      </c>
      <c r="E138" s="174"/>
      <c r="F138" s="173"/>
      <c r="G138" s="36">
        <v>60.75</v>
      </c>
      <c r="H138" s="39"/>
    </row>
    <row r="139" spans="1:8" ht="12.2" customHeight="1">
      <c r="A139" s="2"/>
      <c r="B139" s="2"/>
      <c r="C139" s="2"/>
      <c r="D139" s="173" t="s">
        <v>718</v>
      </c>
      <c r="E139" s="174"/>
      <c r="F139" s="173"/>
      <c r="G139" s="36">
        <v>3.9</v>
      </c>
      <c r="H139" s="39"/>
    </row>
    <row r="140" spans="1:8" ht="12.95" customHeight="1">
      <c r="C140" s="31" t="s">
        <v>672</v>
      </c>
      <c r="D140" s="167" t="s">
        <v>719</v>
      </c>
      <c r="E140" s="168"/>
      <c r="F140" s="168"/>
      <c r="G140" s="168"/>
    </row>
    <row r="141" spans="1:8">
      <c r="A141" s="2" t="s">
        <v>62</v>
      </c>
      <c r="B141" s="2" t="s">
        <v>658</v>
      </c>
      <c r="C141" s="2" t="s">
        <v>261</v>
      </c>
      <c r="D141" s="155" t="s">
        <v>455</v>
      </c>
      <c r="E141" s="156"/>
      <c r="F141" s="2" t="s">
        <v>641</v>
      </c>
      <c r="G141" s="6">
        <v>29.14</v>
      </c>
      <c r="H141" s="6">
        <v>0</v>
      </c>
    </row>
    <row r="142" spans="1:8" ht="12.2" customHeight="1">
      <c r="A142" s="2"/>
      <c r="B142" s="2"/>
      <c r="C142" s="2"/>
      <c r="D142" s="173" t="s">
        <v>720</v>
      </c>
      <c r="E142" s="174"/>
      <c r="F142" s="173"/>
      <c r="G142" s="36">
        <v>20.25</v>
      </c>
      <c r="H142" s="39"/>
    </row>
    <row r="143" spans="1:8" ht="12.2" customHeight="1">
      <c r="A143" s="2"/>
      <c r="B143" s="2"/>
      <c r="C143" s="2"/>
      <c r="D143" s="173" t="s">
        <v>721</v>
      </c>
      <c r="E143" s="174"/>
      <c r="F143" s="173"/>
      <c r="G143" s="36">
        <v>1.3</v>
      </c>
      <c r="H143" s="39"/>
    </row>
    <row r="144" spans="1:8" ht="12.2" customHeight="1">
      <c r="A144" s="2"/>
      <c r="B144" s="2"/>
      <c r="C144" s="2"/>
      <c r="D144" s="173" t="s">
        <v>722</v>
      </c>
      <c r="E144" s="174"/>
      <c r="F144" s="173"/>
      <c r="G144" s="36">
        <v>0.33500000000000002</v>
      </c>
      <c r="H144" s="39"/>
    </row>
    <row r="145" spans="1:8" ht="12.2" customHeight="1">
      <c r="A145" s="2"/>
      <c r="B145" s="2"/>
      <c r="C145" s="2"/>
      <c r="D145" s="173" t="s">
        <v>723</v>
      </c>
      <c r="E145" s="174"/>
      <c r="F145" s="173"/>
      <c r="G145" s="36">
        <v>1.07</v>
      </c>
      <c r="H145" s="39"/>
    </row>
    <row r="146" spans="1:8" ht="12.2" customHeight="1">
      <c r="A146" s="2"/>
      <c r="B146" s="2"/>
      <c r="C146" s="2"/>
      <c r="D146" s="173" t="s">
        <v>724</v>
      </c>
      <c r="E146" s="174"/>
      <c r="F146" s="173"/>
      <c r="G146" s="36">
        <v>2.0695000000000001</v>
      </c>
      <c r="H146" s="39"/>
    </row>
    <row r="147" spans="1:8" ht="12.2" customHeight="1">
      <c r="A147" s="2"/>
      <c r="B147" s="2"/>
      <c r="C147" s="2"/>
      <c r="D147" s="173" t="s">
        <v>725</v>
      </c>
      <c r="E147" s="174"/>
      <c r="F147" s="173"/>
      <c r="G147" s="36">
        <v>2.0430000000000001</v>
      </c>
      <c r="H147" s="39"/>
    </row>
    <row r="148" spans="1:8" ht="12.2" customHeight="1">
      <c r="A148" s="2"/>
      <c r="B148" s="2"/>
      <c r="C148" s="2"/>
      <c r="D148" s="173" t="s">
        <v>726</v>
      </c>
      <c r="E148" s="174"/>
      <c r="F148" s="173"/>
      <c r="G148" s="36">
        <v>2.0724999999999998</v>
      </c>
      <c r="H148" s="39"/>
    </row>
    <row r="149" spans="1:8">
      <c r="A149" s="1" t="s">
        <v>63</v>
      </c>
      <c r="B149" s="1" t="s">
        <v>659</v>
      </c>
      <c r="C149" s="1" t="s">
        <v>262</v>
      </c>
      <c r="D149" s="142" t="s">
        <v>456</v>
      </c>
      <c r="E149" s="143"/>
      <c r="F149" s="1" t="s">
        <v>636</v>
      </c>
      <c r="G149" s="5">
        <v>40</v>
      </c>
      <c r="H149" s="5">
        <v>0</v>
      </c>
    </row>
    <row r="150" spans="1:8" ht="12.95" customHeight="1">
      <c r="C150" s="31" t="s">
        <v>672</v>
      </c>
      <c r="D150" s="167" t="s">
        <v>727</v>
      </c>
      <c r="E150" s="168"/>
      <c r="F150" s="168"/>
      <c r="G150" s="168"/>
    </row>
    <row r="151" spans="1:8">
      <c r="A151" s="2" t="s">
        <v>64</v>
      </c>
      <c r="B151" s="2" t="s">
        <v>659</v>
      </c>
      <c r="C151" s="2" t="s">
        <v>263</v>
      </c>
      <c r="D151" s="155" t="s">
        <v>457</v>
      </c>
      <c r="E151" s="156"/>
      <c r="F151" s="2" t="s">
        <v>638</v>
      </c>
      <c r="G151" s="6">
        <v>0.5</v>
      </c>
      <c r="H151" s="6">
        <v>0</v>
      </c>
    </row>
    <row r="152" spans="1:8" ht="12.2" customHeight="1">
      <c r="A152" s="2"/>
      <c r="B152" s="2"/>
      <c r="C152" s="2"/>
      <c r="D152" s="173" t="s">
        <v>728</v>
      </c>
      <c r="E152" s="174"/>
      <c r="F152" s="173"/>
      <c r="G152" s="36">
        <v>0.5</v>
      </c>
      <c r="H152" s="39"/>
    </row>
    <row r="153" spans="1:8" ht="38.450000000000003" customHeight="1">
      <c r="C153" s="31" t="s">
        <v>672</v>
      </c>
      <c r="D153" s="167" t="s">
        <v>729</v>
      </c>
      <c r="E153" s="168"/>
      <c r="F153" s="168"/>
      <c r="G153" s="168"/>
    </row>
    <row r="154" spans="1:8">
      <c r="A154" s="1" t="s">
        <v>65</v>
      </c>
      <c r="B154" s="1" t="s">
        <v>659</v>
      </c>
      <c r="C154" s="1" t="s">
        <v>257</v>
      </c>
      <c r="D154" s="142" t="s">
        <v>451</v>
      </c>
      <c r="E154" s="143"/>
      <c r="F154" s="1" t="s">
        <v>636</v>
      </c>
      <c r="G154" s="5">
        <v>40</v>
      </c>
      <c r="H154" s="5">
        <v>0</v>
      </c>
    </row>
    <row r="155" spans="1:8" ht="12.95" customHeight="1">
      <c r="C155" s="31" t="s">
        <v>672</v>
      </c>
      <c r="D155" s="167" t="s">
        <v>711</v>
      </c>
      <c r="E155" s="168"/>
      <c r="F155" s="168"/>
      <c r="G155" s="168"/>
    </row>
    <row r="156" spans="1:8">
      <c r="A156" s="1" t="s">
        <v>66</v>
      </c>
      <c r="B156" s="1" t="s">
        <v>659</v>
      </c>
      <c r="C156" s="1" t="s">
        <v>258</v>
      </c>
      <c r="D156" s="142" t="s">
        <v>452</v>
      </c>
      <c r="E156" s="143"/>
      <c r="F156" s="1" t="s">
        <v>636</v>
      </c>
      <c r="G156" s="5">
        <v>40</v>
      </c>
      <c r="H156" s="5">
        <v>0</v>
      </c>
    </row>
    <row r="157" spans="1:8">
      <c r="A157" s="1" t="s">
        <v>67</v>
      </c>
      <c r="B157" s="1" t="s">
        <v>659</v>
      </c>
      <c r="C157" s="1" t="s">
        <v>259</v>
      </c>
      <c r="D157" s="142" t="s">
        <v>453</v>
      </c>
      <c r="E157" s="143"/>
      <c r="F157" s="1" t="s">
        <v>636</v>
      </c>
      <c r="G157" s="5">
        <v>40</v>
      </c>
      <c r="H157" s="5">
        <v>0</v>
      </c>
    </row>
    <row r="158" spans="1:8">
      <c r="A158" s="2" t="s">
        <v>68</v>
      </c>
      <c r="B158" s="2" t="s">
        <v>659</v>
      </c>
      <c r="C158" s="2" t="s">
        <v>260</v>
      </c>
      <c r="D158" s="155" t="s">
        <v>454</v>
      </c>
      <c r="E158" s="156"/>
      <c r="F158" s="2" t="s">
        <v>640</v>
      </c>
      <c r="G158" s="6">
        <v>1.2</v>
      </c>
      <c r="H158" s="6">
        <v>0</v>
      </c>
    </row>
    <row r="159" spans="1:8" ht="12.2" customHeight="1">
      <c r="A159" s="2"/>
      <c r="B159" s="2"/>
      <c r="C159" s="2"/>
      <c r="D159" s="173" t="s">
        <v>730</v>
      </c>
      <c r="E159" s="174"/>
      <c r="F159" s="173"/>
      <c r="G159" s="36">
        <v>1.2</v>
      </c>
      <c r="H159" s="39"/>
    </row>
    <row r="160" spans="1:8" ht="12.95" customHeight="1">
      <c r="C160" s="31" t="s">
        <v>672</v>
      </c>
      <c r="D160" s="167" t="s">
        <v>719</v>
      </c>
      <c r="E160" s="168"/>
      <c r="F160" s="168"/>
      <c r="G160" s="168"/>
    </row>
    <row r="161" spans="1:8">
      <c r="A161" s="2" t="s">
        <v>69</v>
      </c>
      <c r="B161" s="2" t="s">
        <v>659</v>
      </c>
      <c r="C161" s="2" t="s">
        <v>261</v>
      </c>
      <c r="D161" s="155" t="s">
        <v>455</v>
      </c>
      <c r="E161" s="156"/>
      <c r="F161" s="2" t="s">
        <v>641</v>
      </c>
      <c r="G161" s="6">
        <v>0.4</v>
      </c>
      <c r="H161" s="6">
        <v>0</v>
      </c>
    </row>
    <row r="162" spans="1:8" ht="12.2" customHeight="1">
      <c r="A162" s="2"/>
      <c r="B162" s="2"/>
      <c r="C162" s="2"/>
      <c r="D162" s="173" t="s">
        <v>731</v>
      </c>
      <c r="E162" s="174"/>
      <c r="F162" s="173"/>
      <c r="G162" s="36">
        <v>0.4</v>
      </c>
      <c r="H162" s="39"/>
    </row>
    <row r="163" spans="1:8">
      <c r="A163" s="1" t="s">
        <v>70</v>
      </c>
      <c r="B163" s="1" t="s">
        <v>658</v>
      </c>
      <c r="C163" s="1" t="s">
        <v>262</v>
      </c>
      <c r="D163" s="142" t="s">
        <v>456</v>
      </c>
      <c r="E163" s="143"/>
      <c r="F163" s="1" t="s">
        <v>636</v>
      </c>
      <c r="G163" s="5">
        <v>430</v>
      </c>
      <c r="H163" s="5">
        <v>0</v>
      </c>
    </row>
    <row r="164" spans="1:8" ht="12.2" customHeight="1">
      <c r="A164" s="1"/>
      <c r="B164" s="1"/>
      <c r="C164" s="1"/>
      <c r="D164" s="169" t="s">
        <v>732</v>
      </c>
      <c r="E164" s="170"/>
      <c r="F164" s="169"/>
      <c r="G164" s="35">
        <v>85</v>
      </c>
      <c r="H164" s="38"/>
    </row>
    <row r="165" spans="1:8" ht="12.2" customHeight="1">
      <c r="A165" s="1"/>
      <c r="B165" s="1"/>
      <c r="C165" s="1"/>
      <c r="D165" s="169" t="s">
        <v>733</v>
      </c>
      <c r="E165" s="170"/>
      <c r="F165" s="169"/>
      <c r="G165" s="35">
        <v>345</v>
      </c>
      <c r="H165" s="38"/>
    </row>
    <row r="166" spans="1:8" ht="12.95" customHeight="1">
      <c r="C166" s="31" t="s">
        <v>672</v>
      </c>
      <c r="D166" s="167" t="s">
        <v>727</v>
      </c>
      <c r="E166" s="168"/>
      <c r="F166" s="168"/>
      <c r="G166" s="168"/>
    </row>
    <row r="167" spans="1:8">
      <c r="A167" s="2" t="s">
        <v>71</v>
      </c>
      <c r="B167" s="2" t="s">
        <v>658</v>
      </c>
      <c r="C167" s="2" t="s">
        <v>263</v>
      </c>
      <c r="D167" s="155" t="s">
        <v>457</v>
      </c>
      <c r="E167" s="156"/>
      <c r="F167" s="2" t="s">
        <v>638</v>
      </c>
      <c r="G167" s="6">
        <v>24.75</v>
      </c>
      <c r="H167" s="6">
        <v>0</v>
      </c>
    </row>
    <row r="168" spans="1:8" ht="12.2" customHeight="1">
      <c r="A168" s="2"/>
      <c r="B168" s="2"/>
      <c r="C168" s="2"/>
      <c r="D168" s="173" t="s">
        <v>734</v>
      </c>
      <c r="E168" s="174"/>
      <c r="F168" s="173"/>
      <c r="G168" s="36">
        <v>24.75</v>
      </c>
      <c r="H168" s="39"/>
    </row>
    <row r="169" spans="1:8" ht="38.450000000000003" customHeight="1">
      <c r="C169" s="31" t="s">
        <v>672</v>
      </c>
      <c r="D169" s="167" t="s">
        <v>729</v>
      </c>
      <c r="E169" s="168"/>
      <c r="F169" s="168"/>
      <c r="G169" s="168"/>
    </row>
    <row r="170" spans="1:8">
      <c r="A170" s="1" t="s">
        <v>72</v>
      </c>
      <c r="B170" s="1" t="s">
        <v>658</v>
      </c>
      <c r="C170" s="1" t="s">
        <v>264</v>
      </c>
      <c r="D170" s="142" t="s">
        <v>458</v>
      </c>
      <c r="E170" s="143"/>
      <c r="F170" s="1" t="s">
        <v>636</v>
      </c>
      <c r="G170" s="5">
        <v>2784</v>
      </c>
      <c r="H170" s="5">
        <v>0</v>
      </c>
    </row>
    <row r="171" spans="1:8" ht="12.2" customHeight="1">
      <c r="A171" s="1"/>
      <c r="B171" s="1"/>
      <c r="C171" s="1"/>
      <c r="D171" s="169" t="s">
        <v>709</v>
      </c>
      <c r="E171" s="170"/>
      <c r="F171" s="169"/>
      <c r="G171" s="35">
        <v>2025</v>
      </c>
      <c r="H171" s="38"/>
    </row>
    <row r="172" spans="1:8" ht="12.2" customHeight="1">
      <c r="A172" s="1"/>
      <c r="B172" s="1"/>
      <c r="C172" s="1"/>
      <c r="D172" s="169" t="s">
        <v>712</v>
      </c>
      <c r="E172" s="170"/>
      <c r="F172" s="169"/>
      <c r="G172" s="35">
        <v>33.5</v>
      </c>
      <c r="H172" s="38"/>
    </row>
    <row r="173" spans="1:8" ht="12.2" customHeight="1">
      <c r="A173" s="1"/>
      <c r="B173" s="1"/>
      <c r="C173" s="1"/>
      <c r="D173" s="169" t="s">
        <v>713</v>
      </c>
      <c r="E173" s="170"/>
      <c r="F173" s="169"/>
      <c r="G173" s="35">
        <v>107</v>
      </c>
      <c r="H173" s="38"/>
    </row>
    <row r="174" spans="1:8" ht="12.2" customHeight="1">
      <c r="A174" s="1"/>
      <c r="B174" s="1"/>
      <c r="C174" s="1"/>
      <c r="D174" s="169" t="s">
        <v>714</v>
      </c>
      <c r="E174" s="170"/>
      <c r="F174" s="169"/>
      <c r="G174" s="35">
        <v>206.95</v>
      </c>
      <c r="H174" s="38"/>
    </row>
    <row r="175" spans="1:8" ht="12.2" customHeight="1">
      <c r="A175" s="1"/>
      <c r="B175" s="1"/>
      <c r="C175" s="1"/>
      <c r="D175" s="169" t="s">
        <v>715</v>
      </c>
      <c r="E175" s="170"/>
      <c r="F175" s="169"/>
      <c r="G175" s="35">
        <v>204.3</v>
      </c>
      <c r="H175" s="38"/>
    </row>
    <row r="176" spans="1:8" ht="12.2" customHeight="1">
      <c r="A176" s="1"/>
      <c r="B176" s="1"/>
      <c r="C176" s="1"/>
      <c r="D176" s="169" t="s">
        <v>716</v>
      </c>
      <c r="E176" s="170"/>
      <c r="F176" s="169"/>
      <c r="G176" s="35">
        <v>207.25</v>
      </c>
      <c r="H176" s="38"/>
    </row>
    <row r="177" spans="1:8">
      <c r="A177" s="1" t="s">
        <v>73</v>
      </c>
      <c r="B177" s="1" t="s">
        <v>658</v>
      </c>
      <c r="C177" s="1" t="s">
        <v>265</v>
      </c>
      <c r="D177" s="142" t="s">
        <v>459</v>
      </c>
      <c r="E177" s="143"/>
      <c r="F177" s="1" t="s">
        <v>636</v>
      </c>
      <c r="G177" s="5">
        <v>759</v>
      </c>
      <c r="H177" s="5">
        <v>0</v>
      </c>
    </row>
    <row r="178" spans="1:8" ht="12.2" customHeight="1">
      <c r="A178" s="1"/>
      <c r="B178" s="1"/>
      <c r="C178" s="1"/>
      <c r="D178" s="169" t="s">
        <v>712</v>
      </c>
      <c r="E178" s="170"/>
      <c r="F178" s="169"/>
      <c r="G178" s="35">
        <v>33.5</v>
      </c>
      <c r="H178" s="38"/>
    </row>
    <row r="179" spans="1:8" ht="12.2" customHeight="1">
      <c r="A179" s="1"/>
      <c r="B179" s="1"/>
      <c r="C179" s="1"/>
      <c r="D179" s="169" t="s">
        <v>713</v>
      </c>
      <c r="E179" s="170"/>
      <c r="F179" s="169"/>
      <c r="G179" s="35">
        <v>107</v>
      </c>
      <c r="H179" s="38"/>
    </row>
    <row r="180" spans="1:8" ht="12.2" customHeight="1">
      <c r="A180" s="1"/>
      <c r="B180" s="1"/>
      <c r="C180" s="1"/>
      <c r="D180" s="169" t="s">
        <v>714</v>
      </c>
      <c r="E180" s="170"/>
      <c r="F180" s="169"/>
      <c r="G180" s="35">
        <v>206.95</v>
      </c>
      <c r="H180" s="38"/>
    </row>
    <row r="181" spans="1:8" ht="12.2" customHeight="1">
      <c r="A181" s="1"/>
      <c r="B181" s="1"/>
      <c r="C181" s="1"/>
      <c r="D181" s="169" t="s">
        <v>715</v>
      </c>
      <c r="E181" s="170"/>
      <c r="F181" s="169"/>
      <c r="G181" s="35">
        <v>204.3</v>
      </c>
      <c r="H181" s="38"/>
    </row>
    <row r="182" spans="1:8" ht="12.2" customHeight="1">
      <c r="A182" s="1"/>
      <c r="B182" s="1"/>
      <c r="C182" s="1"/>
      <c r="D182" s="169" t="s">
        <v>716</v>
      </c>
      <c r="E182" s="170"/>
      <c r="F182" s="169"/>
      <c r="G182" s="35">
        <v>207.25</v>
      </c>
      <c r="H182" s="38"/>
    </row>
    <row r="183" spans="1:8">
      <c r="A183" s="1" t="s">
        <v>74</v>
      </c>
      <c r="B183" s="1" t="s">
        <v>658</v>
      </c>
      <c r="C183" s="1" t="s">
        <v>266</v>
      </c>
      <c r="D183" s="142" t="s">
        <v>461</v>
      </c>
      <c r="E183" s="143"/>
      <c r="F183" s="1" t="s">
        <v>636</v>
      </c>
      <c r="G183" s="5">
        <v>759</v>
      </c>
      <c r="H183" s="5">
        <v>0</v>
      </c>
    </row>
    <row r="184" spans="1:8" ht="12.2" customHeight="1">
      <c r="A184" s="1"/>
      <c r="B184" s="1"/>
      <c r="C184" s="1"/>
      <c r="D184" s="169" t="s">
        <v>712</v>
      </c>
      <c r="E184" s="170"/>
      <c r="F184" s="169"/>
      <c r="G184" s="35">
        <v>33.5</v>
      </c>
      <c r="H184" s="38"/>
    </row>
    <row r="185" spans="1:8" ht="12.2" customHeight="1">
      <c r="A185" s="1"/>
      <c r="B185" s="1"/>
      <c r="C185" s="1"/>
      <c r="D185" s="169" t="s">
        <v>713</v>
      </c>
      <c r="E185" s="170"/>
      <c r="F185" s="169"/>
      <c r="G185" s="35">
        <v>107</v>
      </c>
      <c r="H185" s="38"/>
    </row>
    <row r="186" spans="1:8" ht="12.2" customHeight="1">
      <c r="A186" s="1"/>
      <c r="B186" s="1"/>
      <c r="C186" s="1"/>
      <c r="D186" s="169" t="s">
        <v>714</v>
      </c>
      <c r="E186" s="170"/>
      <c r="F186" s="169"/>
      <c r="G186" s="35">
        <v>206.95</v>
      </c>
      <c r="H186" s="38"/>
    </row>
    <row r="187" spans="1:8" ht="12.2" customHeight="1">
      <c r="A187" s="1"/>
      <c r="B187" s="1"/>
      <c r="C187" s="1"/>
      <c r="D187" s="169" t="s">
        <v>715</v>
      </c>
      <c r="E187" s="170"/>
      <c r="F187" s="169"/>
      <c r="G187" s="35">
        <v>204.3</v>
      </c>
      <c r="H187" s="38"/>
    </row>
    <row r="188" spans="1:8" ht="12.2" customHeight="1">
      <c r="A188" s="1"/>
      <c r="B188" s="1"/>
      <c r="C188" s="1"/>
      <c r="D188" s="169" t="s">
        <v>716</v>
      </c>
      <c r="E188" s="170"/>
      <c r="F188" s="169"/>
      <c r="G188" s="35">
        <v>207.25</v>
      </c>
      <c r="H188" s="38"/>
    </row>
    <row r="189" spans="1:8">
      <c r="A189" s="2" t="s">
        <v>75</v>
      </c>
      <c r="B189" s="2" t="s">
        <v>658</v>
      </c>
      <c r="C189" s="2" t="s">
        <v>267</v>
      </c>
      <c r="D189" s="155" t="s">
        <v>462</v>
      </c>
      <c r="E189" s="156"/>
      <c r="F189" s="2" t="s">
        <v>638</v>
      </c>
      <c r="G189" s="6">
        <v>75.900000000000006</v>
      </c>
      <c r="H189" s="6">
        <v>0</v>
      </c>
    </row>
    <row r="190" spans="1:8" ht="12.2" customHeight="1">
      <c r="A190" s="2"/>
      <c r="B190" s="2"/>
      <c r="C190" s="2"/>
      <c r="D190" s="173" t="s">
        <v>735</v>
      </c>
      <c r="E190" s="174"/>
      <c r="F190" s="173"/>
      <c r="G190" s="36">
        <v>3.35</v>
      </c>
      <c r="H190" s="39"/>
    </row>
    <row r="191" spans="1:8" ht="12.2" customHeight="1">
      <c r="A191" s="2"/>
      <c r="B191" s="2"/>
      <c r="C191" s="2"/>
      <c r="D191" s="173" t="s">
        <v>736</v>
      </c>
      <c r="E191" s="174"/>
      <c r="F191" s="173"/>
      <c r="G191" s="36">
        <v>10.7</v>
      </c>
      <c r="H191" s="39"/>
    </row>
    <row r="192" spans="1:8" ht="12.2" customHeight="1">
      <c r="A192" s="2"/>
      <c r="B192" s="2"/>
      <c r="C192" s="2"/>
      <c r="D192" s="173" t="s">
        <v>737</v>
      </c>
      <c r="E192" s="174"/>
      <c r="F192" s="173"/>
      <c r="G192" s="36">
        <v>20.695</v>
      </c>
      <c r="H192" s="39"/>
    </row>
    <row r="193" spans="1:8" ht="12.2" customHeight="1">
      <c r="A193" s="2"/>
      <c r="B193" s="2"/>
      <c r="C193" s="2"/>
      <c r="D193" s="173" t="s">
        <v>738</v>
      </c>
      <c r="E193" s="174"/>
      <c r="F193" s="173"/>
      <c r="G193" s="36">
        <v>20.43</v>
      </c>
      <c r="H193" s="39"/>
    </row>
    <row r="194" spans="1:8" ht="12.2" customHeight="1">
      <c r="A194" s="2"/>
      <c r="B194" s="2"/>
      <c r="C194" s="2"/>
      <c r="D194" s="173" t="s">
        <v>739</v>
      </c>
      <c r="E194" s="174"/>
      <c r="F194" s="173"/>
      <c r="G194" s="36">
        <v>20.725000000000001</v>
      </c>
      <c r="H194" s="39"/>
    </row>
    <row r="195" spans="1:8">
      <c r="A195" s="1" t="s">
        <v>76</v>
      </c>
      <c r="B195" s="1" t="s">
        <v>658</v>
      </c>
      <c r="C195" s="1" t="s">
        <v>268</v>
      </c>
      <c r="D195" s="142" t="s">
        <v>463</v>
      </c>
      <c r="E195" s="143"/>
      <c r="F195" s="1" t="s">
        <v>636</v>
      </c>
      <c r="G195" s="5">
        <v>759</v>
      </c>
      <c r="H195" s="5">
        <v>0</v>
      </c>
    </row>
    <row r="196" spans="1:8" ht="12.2" customHeight="1">
      <c r="A196" s="1"/>
      <c r="B196" s="1"/>
      <c r="C196" s="1"/>
      <c r="D196" s="169" t="s">
        <v>712</v>
      </c>
      <c r="E196" s="170"/>
      <c r="F196" s="169"/>
      <c r="G196" s="35">
        <v>33.5</v>
      </c>
      <c r="H196" s="38"/>
    </row>
    <row r="197" spans="1:8" ht="12.2" customHeight="1">
      <c r="A197" s="1"/>
      <c r="B197" s="1"/>
      <c r="C197" s="1"/>
      <c r="D197" s="169" t="s">
        <v>713</v>
      </c>
      <c r="E197" s="170"/>
      <c r="F197" s="169"/>
      <c r="G197" s="35">
        <v>107</v>
      </c>
      <c r="H197" s="38"/>
    </row>
    <row r="198" spans="1:8" ht="12.2" customHeight="1">
      <c r="A198" s="1"/>
      <c r="B198" s="1"/>
      <c r="C198" s="1"/>
      <c r="D198" s="169" t="s">
        <v>714</v>
      </c>
      <c r="E198" s="170"/>
      <c r="F198" s="169"/>
      <c r="G198" s="35">
        <v>206.95</v>
      </c>
      <c r="H198" s="38"/>
    </row>
    <row r="199" spans="1:8" ht="12.2" customHeight="1">
      <c r="A199" s="1"/>
      <c r="B199" s="1"/>
      <c r="C199" s="1"/>
      <c r="D199" s="169" t="s">
        <v>715</v>
      </c>
      <c r="E199" s="170"/>
      <c r="F199" s="169"/>
      <c r="G199" s="35">
        <v>204.3</v>
      </c>
      <c r="H199" s="38"/>
    </row>
    <row r="200" spans="1:8" ht="12.2" customHeight="1">
      <c r="A200" s="1"/>
      <c r="B200" s="1"/>
      <c r="C200" s="1"/>
      <c r="D200" s="169" t="s">
        <v>716</v>
      </c>
      <c r="E200" s="170"/>
      <c r="F200" s="169"/>
      <c r="G200" s="35">
        <v>207.25</v>
      </c>
      <c r="H200" s="38"/>
    </row>
    <row r="201" spans="1:8">
      <c r="A201" s="1" t="s">
        <v>77</v>
      </c>
      <c r="B201" s="1" t="s">
        <v>658</v>
      </c>
      <c r="C201" s="1" t="s">
        <v>269</v>
      </c>
      <c r="D201" s="142" t="s">
        <v>464</v>
      </c>
      <c r="E201" s="143"/>
      <c r="F201" s="1" t="s">
        <v>638</v>
      </c>
      <c r="G201" s="5">
        <v>18.975000000000001</v>
      </c>
      <c r="H201" s="5">
        <v>0</v>
      </c>
    </row>
    <row r="202" spans="1:8" ht="12.2" customHeight="1">
      <c r="A202" s="1"/>
      <c r="B202" s="1"/>
      <c r="C202" s="1"/>
      <c r="D202" s="169" t="s">
        <v>740</v>
      </c>
      <c r="E202" s="170"/>
      <c r="F202" s="169"/>
      <c r="G202" s="35">
        <v>0.83750000000000002</v>
      </c>
      <c r="H202" s="38"/>
    </row>
    <row r="203" spans="1:8" ht="12.2" customHeight="1">
      <c r="A203" s="1"/>
      <c r="B203" s="1"/>
      <c r="C203" s="1"/>
      <c r="D203" s="169" t="s">
        <v>741</v>
      </c>
      <c r="E203" s="170"/>
      <c r="F203" s="169"/>
      <c r="G203" s="35">
        <v>2.6749999999999998</v>
      </c>
      <c r="H203" s="38"/>
    </row>
    <row r="204" spans="1:8" ht="12.2" customHeight="1">
      <c r="A204" s="1"/>
      <c r="B204" s="1"/>
      <c r="C204" s="1"/>
      <c r="D204" s="169" t="s">
        <v>742</v>
      </c>
      <c r="E204" s="170"/>
      <c r="F204" s="169"/>
      <c r="G204" s="35">
        <v>5.1737500000000001</v>
      </c>
      <c r="H204" s="38"/>
    </row>
    <row r="205" spans="1:8" ht="12.2" customHeight="1">
      <c r="A205" s="1"/>
      <c r="B205" s="1"/>
      <c r="C205" s="1"/>
      <c r="D205" s="169" t="s">
        <v>743</v>
      </c>
      <c r="E205" s="170"/>
      <c r="F205" s="169"/>
      <c r="G205" s="35">
        <v>5.1074999999999999</v>
      </c>
      <c r="H205" s="38"/>
    </row>
    <row r="206" spans="1:8" ht="12.2" customHeight="1">
      <c r="A206" s="1"/>
      <c r="B206" s="1"/>
      <c r="C206" s="1"/>
      <c r="D206" s="169" t="s">
        <v>744</v>
      </c>
      <c r="E206" s="170"/>
      <c r="F206" s="169"/>
      <c r="G206" s="35">
        <v>5.1812500000000004</v>
      </c>
      <c r="H206" s="38"/>
    </row>
    <row r="207" spans="1:8">
      <c r="A207" s="1" t="s">
        <v>78</v>
      </c>
      <c r="B207" s="1" t="s">
        <v>658</v>
      </c>
      <c r="C207" s="1" t="s">
        <v>270</v>
      </c>
      <c r="D207" s="142" t="s">
        <v>465</v>
      </c>
      <c r="E207" s="143"/>
      <c r="F207" s="1" t="s">
        <v>638</v>
      </c>
      <c r="G207" s="5">
        <v>18.975000000000001</v>
      </c>
      <c r="H207" s="5">
        <v>0</v>
      </c>
    </row>
    <row r="208" spans="1:8">
      <c r="A208" s="1" t="s">
        <v>79</v>
      </c>
      <c r="B208" s="1" t="s">
        <v>658</v>
      </c>
      <c r="C208" s="1" t="s">
        <v>271</v>
      </c>
      <c r="D208" s="142" t="s">
        <v>466</v>
      </c>
      <c r="E208" s="143"/>
      <c r="F208" s="1" t="s">
        <v>637</v>
      </c>
      <c r="G208" s="5">
        <v>3</v>
      </c>
      <c r="H208" s="5">
        <v>0</v>
      </c>
    </row>
    <row r="209" spans="1:8">
      <c r="A209" s="1" t="s">
        <v>80</v>
      </c>
      <c r="B209" s="1" t="s">
        <v>658</v>
      </c>
      <c r="C209" s="1" t="s">
        <v>272</v>
      </c>
      <c r="D209" s="142" t="s">
        <v>467</v>
      </c>
      <c r="E209" s="143"/>
      <c r="F209" s="1" t="s">
        <v>637</v>
      </c>
      <c r="G209" s="5">
        <v>3</v>
      </c>
      <c r="H209" s="5">
        <v>0</v>
      </c>
    </row>
    <row r="210" spans="1:8">
      <c r="A210" s="1" t="s">
        <v>81</v>
      </c>
      <c r="B210" s="1" t="s">
        <v>658</v>
      </c>
      <c r="C210" s="1" t="s">
        <v>273</v>
      </c>
      <c r="D210" s="142" t="s">
        <v>468</v>
      </c>
      <c r="E210" s="143"/>
      <c r="F210" s="1" t="s">
        <v>637</v>
      </c>
      <c r="G210" s="5">
        <v>3010</v>
      </c>
      <c r="H210" s="5">
        <v>0</v>
      </c>
    </row>
    <row r="211" spans="1:8">
      <c r="A211" s="1" t="s">
        <v>82</v>
      </c>
      <c r="B211" s="1" t="s">
        <v>658</v>
      </c>
      <c r="C211" s="1" t="s">
        <v>274</v>
      </c>
      <c r="D211" s="142" t="s">
        <v>469</v>
      </c>
      <c r="E211" s="143"/>
      <c r="F211" s="1" t="s">
        <v>636</v>
      </c>
      <c r="G211" s="5">
        <v>759</v>
      </c>
      <c r="H211" s="5">
        <v>0</v>
      </c>
    </row>
    <row r="212" spans="1:8" ht="12.2" customHeight="1">
      <c r="A212" s="1"/>
      <c r="B212" s="1"/>
      <c r="C212" s="1"/>
      <c r="D212" s="169" t="s">
        <v>712</v>
      </c>
      <c r="E212" s="170"/>
      <c r="F212" s="169"/>
      <c r="G212" s="35">
        <v>33.5</v>
      </c>
      <c r="H212" s="38"/>
    </row>
    <row r="213" spans="1:8" ht="12.2" customHeight="1">
      <c r="A213" s="1"/>
      <c r="B213" s="1"/>
      <c r="C213" s="1"/>
      <c r="D213" s="169" t="s">
        <v>713</v>
      </c>
      <c r="E213" s="170"/>
      <c r="F213" s="169"/>
      <c r="G213" s="35">
        <v>107</v>
      </c>
      <c r="H213" s="38"/>
    </row>
    <row r="214" spans="1:8" ht="12.2" customHeight="1">
      <c r="A214" s="1"/>
      <c r="B214" s="1"/>
      <c r="C214" s="1"/>
      <c r="D214" s="169" t="s">
        <v>714</v>
      </c>
      <c r="E214" s="170"/>
      <c r="F214" s="169"/>
      <c r="G214" s="35">
        <v>206.95</v>
      </c>
      <c r="H214" s="38"/>
    </row>
    <row r="215" spans="1:8" ht="12.2" customHeight="1">
      <c r="A215" s="1"/>
      <c r="B215" s="1"/>
      <c r="C215" s="1"/>
      <c r="D215" s="169" t="s">
        <v>715</v>
      </c>
      <c r="E215" s="170"/>
      <c r="F215" s="169"/>
      <c r="G215" s="35">
        <v>204.3</v>
      </c>
      <c r="H215" s="38"/>
    </row>
    <row r="216" spans="1:8" ht="12.2" customHeight="1">
      <c r="A216" s="1"/>
      <c r="B216" s="1"/>
      <c r="C216" s="1"/>
      <c r="D216" s="169" t="s">
        <v>716</v>
      </c>
      <c r="E216" s="170"/>
      <c r="F216" s="169"/>
      <c r="G216" s="35">
        <v>207.25</v>
      </c>
      <c r="H216" s="38"/>
    </row>
    <row r="217" spans="1:8">
      <c r="A217" s="1" t="s">
        <v>83</v>
      </c>
      <c r="B217" s="1" t="s">
        <v>658</v>
      </c>
      <c r="C217" s="1" t="s">
        <v>275</v>
      </c>
      <c r="D217" s="142" t="s">
        <v>470</v>
      </c>
      <c r="E217" s="143"/>
      <c r="F217" s="1" t="s">
        <v>637</v>
      </c>
      <c r="G217" s="5">
        <v>3010</v>
      </c>
      <c r="H217" s="5">
        <v>0</v>
      </c>
    </row>
    <row r="218" spans="1:8">
      <c r="A218" s="1" t="s">
        <v>84</v>
      </c>
      <c r="B218" s="1" t="s">
        <v>658</v>
      </c>
      <c r="C218" s="1" t="s">
        <v>276</v>
      </c>
      <c r="D218" s="142" t="s">
        <v>471</v>
      </c>
      <c r="E218" s="143"/>
      <c r="F218" s="1" t="s">
        <v>642</v>
      </c>
      <c r="G218" s="5">
        <v>200</v>
      </c>
      <c r="H218" s="5">
        <v>0</v>
      </c>
    </row>
    <row r="219" spans="1:8">
      <c r="A219" s="1" t="s">
        <v>85</v>
      </c>
      <c r="B219" s="1" t="s">
        <v>658</v>
      </c>
      <c r="C219" s="1" t="s">
        <v>277</v>
      </c>
      <c r="D219" s="142" t="s">
        <v>472</v>
      </c>
      <c r="E219" s="143"/>
      <c r="F219" s="1" t="s">
        <v>642</v>
      </c>
      <c r="G219" s="5">
        <v>180</v>
      </c>
      <c r="H219" s="5">
        <v>0</v>
      </c>
    </row>
    <row r="220" spans="1:8">
      <c r="A220" s="1" t="s">
        <v>86</v>
      </c>
      <c r="B220" s="1" t="s">
        <v>658</v>
      </c>
      <c r="C220" s="1" t="s">
        <v>278</v>
      </c>
      <c r="D220" s="142" t="s">
        <v>473</v>
      </c>
      <c r="E220" s="143"/>
      <c r="F220" s="1" t="s">
        <v>642</v>
      </c>
      <c r="G220" s="5">
        <v>140</v>
      </c>
      <c r="H220" s="5">
        <v>0</v>
      </c>
    </row>
    <row r="221" spans="1:8">
      <c r="A221" s="1" t="s">
        <v>87</v>
      </c>
      <c r="B221" s="1" t="s">
        <v>658</v>
      </c>
      <c r="C221" s="1" t="s">
        <v>279</v>
      </c>
      <c r="D221" s="142" t="s">
        <v>474</v>
      </c>
      <c r="E221" s="143"/>
      <c r="F221" s="1" t="s">
        <v>642</v>
      </c>
      <c r="G221" s="5">
        <v>160</v>
      </c>
      <c r="H221" s="5">
        <v>0</v>
      </c>
    </row>
    <row r="222" spans="1:8">
      <c r="A222" s="1" t="s">
        <v>88</v>
      </c>
      <c r="B222" s="1" t="s">
        <v>658</v>
      </c>
      <c r="C222" s="1" t="s">
        <v>280</v>
      </c>
      <c r="D222" s="142" t="s">
        <v>475</v>
      </c>
      <c r="E222" s="143"/>
      <c r="F222" s="1" t="s">
        <v>642</v>
      </c>
      <c r="G222" s="5">
        <v>160</v>
      </c>
      <c r="H222" s="5">
        <v>0</v>
      </c>
    </row>
    <row r="223" spans="1:8">
      <c r="A223" s="1" t="s">
        <v>89</v>
      </c>
      <c r="B223" s="1" t="s">
        <v>658</v>
      </c>
      <c r="C223" s="1" t="s">
        <v>281</v>
      </c>
      <c r="D223" s="142" t="s">
        <v>476</v>
      </c>
      <c r="E223" s="143"/>
      <c r="F223" s="1" t="s">
        <v>642</v>
      </c>
      <c r="G223" s="5">
        <v>200</v>
      </c>
      <c r="H223" s="5">
        <v>0</v>
      </c>
    </row>
    <row r="224" spans="1:8">
      <c r="A224" s="1" t="s">
        <v>90</v>
      </c>
      <c r="B224" s="1" t="s">
        <v>658</v>
      </c>
      <c r="C224" s="1" t="s">
        <v>282</v>
      </c>
      <c r="D224" s="142" t="s">
        <v>477</v>
      </c>
      <c r="E224" s="143"/>
      <c r="F224" s="1" t="s">
        <v>642</v>
      </c>
      <c r="G224" s="5">
        <v>80</v>
      </c>
      <c r="H224" s="5">
        <v>0</v>
      </c>
    </row>
    <row r="225" spans="1:8">
      <c r="A225" s="1" t="s">
        <v>91</v>
      </c>
      <c r="B225" s="1" t="s">
        <v>658</v>
      </c>
      <c r="C225" s="1" t="s">
        <v>283</v>
      </c>
      <c r="D225" s="142" t="s">
        <v>478</v>
      </c>
      <c r="E225" s="143"/>
      <c r="F225" s="1" t="s">
        <v>642</v>
      </c>
      <c r="G225" s="5">
        <v>100</v>
      </c>
      <c r="H225" s="5">
        <v>0</v>
      </c>
    </row>
    <row r="226" spans="1:8">
      <c r="A226" s="1" t="s">
        <v>92</v>
      </c>
      <c r="B226" s="1" t="s">
        <v>658</v>
      </c>
      <c r="C226" s="1" t="s">
        <v>284</v>
      </c>
      <c r="D226" s="142" t="s">
        <v>479</v>
      </c>
      <c r="E226" s="143"/>
      <c r="F226" s="1" t="s">
        <v>642</v>
      </c>
      <c r="G226" s="5">
        <v>60</v>
      </c>
      <c r="H226" s="5">
        <v>0</v>
      </c>
    </row>
    <row r="227" spans="1:8">
      <c r="A227" s="1" t="s">
        <v>93</v>
      </c>
      <c r="B227" s="1" t="s">
        <v>658</v>
      </c>
      <c r="C227" s="1" t="s">
        <v>285</v>
      </c>
      <c r="D227" s="142" t="s">
        <v>480</v>
      </c>
      <c r="E227" s="143"/>
      <c r="F227" s="1" t="s">
        <v>642</v>
      </c>
      <c r="G227" s="5">
        <v>195</v>
      </c>
      <c r="H227" s="5">
        <v>0</v>
      </c>
    </row>
    <row r="228" spans="1:8">
      <c r="A228" s="1" t="s">
        <v>94</v>
      </c>
      <c r="B228" s="1" t="s">
        <v>658</v>
      </c>
      <c r="C228" s="1" t="s">
        <v>286</v>
      </c>
      <c r="D228" s="142" t="s">
        <v>481</v>
      </c>
      <c r="E228" s="143"/>
      <c r="F228" s="1" t="s">
        <v>642</v>
      </c>
      <c r="G228" s="5">
        <v>130</v>
      </c>
      <c r="H228" s="5">
        <v>0</v>
      </c>
    </row>
    <row r="229" spans="1:8">
      <c r="A229" s="1" t="s">
        <v>95</v>
      </c>
      <c r="B229" s="1" t="s">
        <v>658</v>
      </c>
      <c r="C229" s="1" t="s">
        <v>287</v>
      </c>
      <c r="D229" s="142" t="s">
        <v>482</v>
      </c>
      <c r="E229" s="143"/>
      <c r="F229" s="1" t="s">
        <v>642</v>
      </c>
      <c r="G229" s="5">
        <v>390</v>
      </c>
      <c r="H229" s="5">
        <v>0</v>
      </c>
    </row>
    <row r="230" spans="1:8">
      <c r="A230" s="1" t="s">
        <v>96</v>
      </c>
      <c r="B230" s="1" t="s">
        <v>658</v>
      </c>
      <c r="C230" s="1" t="s">
        <v>288</v>
      </c>
      <c r="D230" s="142" t="s">
        <v>483</v>
      </c>
      <c r="E230" s="143"/>
      <c r="F230" s="1" t="s">
        <v>642</v>
      </c>
      <c r="G230" s="5">
        <v>250</v>
      </c>
      <c r="H230" s="5">
        <v>0</v>
      </c>
    </row>
    <row r="231" spans="1:8">
      <c r="A231" s="1" t="s">
        <v>97</v>
      </c>
      <c r="B231" s="1" t="s">
        <v>658</v>
      </c>
      <c r="C231" s="1" t="s">
        <v>288</v>
      </c>
      <c r="D231" s="142" t="s">
        <v>484</v>
      </c>
      <c r="E231" s="143"/>
      <c r="F231" s="1" t="s">
        <v>642</v>
      </c>
      <c r="G231" s="5">
        <v>30</v>
      </c>
      <c r="H231" s="5">
        <v>0</v>
      </c>
    </row>
    <row r="232" spans="1:8">
      <c r="A232" s="1" t="s">
        <v>98</v>
      </c>
      <c r="B232" s="1" t="s">
        <v>658</v>
      </c>
      <c r="C232" s="1" t="s">
        <v>289</v>
      </c>
      <c r="D232" s="142" t="s">
        <v>485</v>
      </c>
      <c r="E232" s="143"/>
      <c r="F232" s="1" t="s">
        <v>642</v>
      </c>
      <c r="G232" s="5">
        <v>30</v>
      </c>
      <c r="H232" s="5">
        <v>0</v>
      </c>
    </row>
    <row r="233" spans="1:8">
      <c r="A233" s="1" t="s">
        <v>99</v>
      </c>
      <c r="B233" s="1" t="s">
        <v>658</v>
      </c>
      <c r="C233" s="1" t="s">
        <v>290</v>
      </c>
      <c r="D233" s="142" t="s">
        <v>486</v>
      </c>
      <c r="E233" s="143"/>
      <c r="F233" s="1" t="s">
        <v>642</v>
      </c>
      <c r="G233" s="5">
        <v>45</v>
      </c>
      <c r="H233" s="5">
        <v>0</v>
      </c>
    </row>
    <row r="234" spans="1:8">
      <c r="A234" s="1" t="s">
        <v>100</v>
      </c>
      <c r="B234" s="1" t="s">
        <v>658</v>
      </c>
      <c r="C234" s="1" t="s">
        <v>291</v>
      </c>
      <c r="D234" s="142" t="s">
        <v>487</v>
      </c>
      <c r="E234" s="143"/>
      <c r="F234" s="1" t="s">
        <v>642</v>
      </c>
      <c r="G234" s="5">
        <v>20</v>
      </c>
      <c r="H234" s="5">
        <v>0</v>
      </c>
    </row>
    <row r="235" spans="1:8">
      <c r="A235" s="1" t="s">
        <v>101</v>
      </c>
      <c r="B235" s="1" t="s">
        <v>658</v>
      </c>
      <c r="C235" s="1" t="s">
        <v>292</v>
      </c>
      <c r="D235" s="142" t="s">
        <v>488</v>
      </c>
      <c r="E235" s="143"/>
      <c r="F235" s="1" t="s">
        <v>642</v>
      </c>
      <c r="G235" s="5">
        <v>20</v>
      </c>
      <c r="H235" s="5">
        <v>0</v>
      </c>
    </row>
    <row r="236" spans="1:8">
      <c r="A236" s="1" t="s">
        <v>102</v>
      </c>
      <c r="B236" s="1" t="s">
        <v>658</v>
      </c>
      <c r="C236" s="1" t="s">
        <v>293</v>
      </c>
      <c r="D236" s="142" t="s">
        <v>489</v>
      </c>
      <c r="E236" s="143"/>
      <c r="F236" s="1" t="s">
        <v>642</v>
      </c>
      <c r="G236" s="5">
        <v>30</v>
      </c>
      <c r="H236" s="5">
        <v>0</v>
      </c>
    </row>
    <row r="237" spans="1:8">
      <c r="A237" s="1" t="s">
        <v>103</v>
      </c>
      <c r="B237" s="1" t="s">
        <v>658</v>
      </c>
      <c r="C237" s="1" t="s">
        <v>294</v>
      </c>
      <c r="D237" s="142" t="s">
        <v>490</v>
      </c>
      <c r="E237" s="143"/>
      <c r="F237" s="1" t="s">
        <v>642</v>
      </c>
      <c r="G237" s="5">
        <v>10</v>
      </c>
      <c r="H237" s="5">
        <v>0</v>
      </c>
    </row>
    <row r="238" spans="1:8">
      <c r="A238" s="1" t="s">
        <v>104</v>
      </c>
      <c r="B238" s="1" t="s">
        <v>658</v>
      </c>
      <c r="C238" s="1" t="s">
        <v>295</v>
      </c>
      <c r="D238" s="142" t="s">
        <v>491</v>
      </c>
      <c r="E238" s="143"/>
      <c r="F238" s="1" t="s">
        <v>642</v>
      </c>
      <c r="G238" s="5">
        <v>50</v>
      </c>
      <c r="H238" s="5">
        <v>0</v>
      </c>
    </row>
    <row r="239" spans="1:8">
      <c r="A239" s="1" t="s">
        <v>105</v>
      </c>
      <c r="B239" s="1" t="s">
        <v>658</v>
      </c>
      <c r="C239" s="1" t="s">
        <v>296</v>
      </c>
      <c r="D239" s="142" t="s">
        <v>492</v>
      </c>
      <c r="E239" s="143"/>
      <c r="F239" s="1" t="s">
        <v>642</v>
      </c>
      <c r="G239" s="5">
        <v>40</v>
      </c>
      <c r="H239" s="5">
        <v>0</v>
      </c>
    </row>
    <row r="240" spans="1:8">
      <c r="A240" s="1" t="s">
        <v>106</v>
      </c>
      <c r="B240" s="1" t="s">
        <v>658</v>
      </c>
      <c r="C240" s="1" t="s">
        <v>297</v>
      </c>
      <c r="D240" s="142" t="s">
        <v>493</v>
      </c>
      <c r="E240" s="143"/>
      <c r="F240" s="1" t="s">
        <v>642</v>
      </c>
      <c r="G240" s="5">
        <v>3</v>
      </c>
      <c r="H240" s="5">
        <v>0</v>
      </c>
    </row>
    <row r="241" spans="1:8">
      <c r="A241" s="1" t="s">
        <v>107</v>
      </c>
      <c r="B241" s="1" t="s">
        <v>658</v>
      </c>
      <c r="C241" s="1" t="s">
        <v>298</v>
      </c>
      <c r="D241" s="142" t="s">
        <v>494</v>
      </c>
      <c r="E241" s="143"/>
      <c r="F241" s="1" t="s">
        <v>642</v>
      </c>
      <c r="G241" s="5">
        <v>50</v>
      </c>
      <c r="H241" s="5">
        <v>0</v>
      </c>
    </row>
    <row r="242" spans="1:8">
      <c r="A242" s="1" t="s">
        <v>108</v>
      </c>
      <c r="B242" s="1" t="s">
        <v>658</v>
      </c>
      <c r="C242" s="1" t="s">
        <v>299</v>
      </c>
      <c r="D242" s="142" t="s">
        <v>495</v>
      </c>
      <c r="E242" s="143"/>
      <c r="F242" s="1" t="s">
        <v>642</v>
      </c>
      <c r="G242" s="5">
        <v>30</v>
      </c>
      <c r="H242" s="5">
        <v>0</v>
      </c>
    </row>
    <row r="243" spans="1:8">
      <c r="A243" s="1" t="s">
        <v>109</v>
      </c>
      <c r="B243" s="1" t="s">
        <v>658</v>
      </c>
      <c r="C243" s="1" t="s">
        <v>300</v>
      </c>
      <c r="D243" s="142" t="s">
        <v>496</v>
      </c>
      <c r="E243" s="143"/>
      <c r="F243" s="1" t="s">
        <v>642</v>
      </c>
      <c r="G243" s="5">
        <v>100</v>
      </c>
      <c r="H243" s="5">
        <v>0</v>
      </c>
    </row>
    <row r="244" spans="1:8">
      <c r="A244" s="1" t="s">
        <v>110</v>
      </c>
      <c r="B244" s="1" t="s">
        <v>658</v>
      </c>
      <c r="C244" s="1" t="s">
        <v>301</v>
      </c>
      <c r="D244" s="142" t="s">
        <v>497</v>
      </c>
      <c r="E244" s="143"/>
      <c r="F244" s="1" t="s">
        <v>642</v>
      </c>
      <c r="G244" s="5">
        <v>45</v>
      </c>
      <c r="H244" s="5">
        <v>0</v>
      </c>
    </row>
    <row r="245" spans="1:8">
      <c r="A245" s="1" t="s">
        <v>111</v>
      </c>
      <c r="B245" s="1" t="s">
        <v>658</v>
      </c>
      <c r="C245" s="1" t="s">
        <v>302</v>
      </c>
      <c r="D245" s="142" t="s">
        <v>498</v>
      </c>
      <c r="E245" s="143"/>
      <c r="F245" s="1" t="s">
        <v>642</v>
      </c>
      <c r="G245" s="5">
        <v>45</v>
      </c>
      <c r="H245" s="5">
        <v>0</v>
      </c>
    </row>
    <row r="246" spans="1:8">
      <c r="A246" s="1" t="s">
        <v>112</v>
      </c>
      <c r="B246" s="1" t="s">
        <v>658</v>
      </c>
      <c r="C246" s="1" t="s">
        <v>303</v>
      </c>
      <c r="D246" s="142" t="s">
        <v>499</v>
      </c>
      <c r="E246" s="143"/>
      <c r="F246" s="1" t="s">
        <v>642</v>
      </c>
      <c r="G246" s="5">
        <v>10</v>
      </c>
      <c r="H246" s="5">
        <v>0</v>
      </c>
    </row>
    <row r="247" spans="1:8">
      <c r="A247" s="1" t="s">
        <v>113</v>
      </c>
      <c r="B247" s="1" t="s">
        <v>658</v>
      </c>
      <c r="C247" s="1" t="s">
        <v>304</v>
      </c>
      <c r="D247" s="142" t="s">
        <v>500</v>
      </c>
      <c r="E247" s="143"/>
      <c r="F247" s="1" t="s">
        <v>642</v>
      </c>
      <c r="G247" s="5">
        <v>5</v>
      </c>
      <c r="H247" s="5">
        <v>0</v>
      </c>
    </row>
    <row r="248" spans="1:8">
      <c r="A248" s="1" t="s">
        <v>114</v>
      </c>
      <c r="B248" s="1" t="s">
        <v>658</v>
      </c>
      <c r="C248" s="1" t="s">
        <v>305</v>
      </c>
      <c r="D248" s="142" t="s">
        <v>501</v>
      </c>
      <c r="E248" s="143"/>
      <c r="F248" s="1" t="s">
        <v>642</v>
      </c>
      <c r="G248" s="5">
        <v>20</v>
      </c>
      <c r="H248" s="5">
        <v>0</v>
      </c>
    </row>
    <row r="249" spans="1:8">
      <c r="A249" s="1" t="s">
        <v>115</v>
      </c>
      <c r="B249" s="1" t="s">
        <v>658</v>
      </c>
      <c r="C249" s="1" t="s">
        <v>306</v>
      </c>
      <c r="D249" s="142" t="s">
        <v>502</v>
      </c>
      <c r="E249" s="143"/>
      <c r="F249" s="1" t="s">
        <v>642</v>
      </c>
      <c r="G249" s="5">
        <v>20</v>
      </c>
      <c r="H249" s="5">
        <v>0</v>
      </c>
    </row>
    <row r="250" spans="1:8">
      <c r="A250" s="1" t="s">
        <v>116</v>
      </c>
      <c r="B250" s="1" t="s">
        <v>658</v>
      </c>
      <c r="C250" s="1" t="s">
        <v>307</v>
      </c>
      <c r="D250" s="142" t="s">
        <v>503</v>
      </c>
      <c r="E250" s="143"/>
      <c r="F250" s="1" t="s">
        <v>642</v>
      </c>
      <c r="G250" s="5">
        <v>30</v>
      </c>
      <c r="H250" s="5">
        <v>0</v>
      </c>
    </row>
    <row r="251" spans="1:8">
      <c r="A251" s="1" t="s">
        <v>117</v>
      </c>
      <c r="B251" s="1" t="s">
        <v>658</v>
      </c>
      <c r="C251" s="1" t="s">
        <v>308</v>
      </c>
      <c r="D251" s="142" t="s">
        <v>504</v>
      </c>
      <c r="E251" s="143"/>
      <c r="F251" s="1" t="s">
        <v>642</v>
      </c>
      <c r="G251" s="5">
        <v>20</v>
      </c>
      <c r="H251" s="5">
        <v>0</v>
      </c>
    </row>
    <row r="252" spans="1:8">
      <c r="A252" s="1" t="s">
        <v>118</v>
      </c>
      <c r="B252" s="1" t="s">
        <v>658</v>
      </c>
      <c r="C252" s="1" t="s">
        <v>309</v>
      </c>
      <c r="D252" s="142" t="s">
        <v>505</v>
      </c>
      <c r="E252" s="143"/>
      <c r="F252" s="1" t="s">
        <v>642</v>
      </c>
      <c r="G252" s="5">
        <v>15</v>
      </c>
      <c r="H252" s="5">
        <v>0</v>
      </c>
    </row>
    <row r="253" spans="1:8">
      <c r="A253" s="1" t="s">
        <v>119</v>
      </c>
      <c r="B253" s="1" t="s">
        <v>658</v>
      </c>
      <c r="C253" s="1" t="s">
        <v>310</v>
      </c>
      <c r="D253" s="142" t="s">
        <v>506</v>
      </c>
      <c r="E253" s="143"/>
      <c r="F253" s="1" t="s">
        <v>642</v>
      </c>
      <c r="G253" s="5">
        <v>15</v>
      </c>
      <c r="H253" s="5">
        <v>0</v>
      </c>
    </row>
    <row r="254" spans="1:8">
      <c r="A254" s="1" t="s">
        <v>120</v>
      </c>
      <c r="B254" s="1" t="s">
        <v>658</v>
      </c>
      <c r="C254" s="1" t="s">
        <v>311</v>
      </c>
      <c r="D254" s="142" t="s">
        <v>507</v>
      </c>
      <c r="E254" s="143"/>
      <c r="F254" s="1" t="s">
        <v>642</v>
      </c>
      <c r="G254" s="5">
        <v>15</v>
      </c>
      <c r="H254" s="5">
        <v>0</v>
      </c>
    </row>
    <row r="255" spans="1:8">
      <c r="A255" s="1" t="s">
        <v>121</v>
      </c>
      <c r="B255" s="1" t="s">
        <v>658</v>
      </c>
      <c r="C255" s="1" t="s">
        <v>312</v>
      </c>
      <c r="D255" s="142" t="s">
        <v>508</v>
      </c>
      <c r="E255" s="143"/>
      <c r="F255" s="1" t="s">
        <v>642</v>
      </c>
      <c r="G255" s="5">
        <v>10</v>
      </c>
      <c r="H255" s="5">
        <v>0</v>
      </c>
    </row>
    <row r="256" spans="1:8">
      <c r="A256" s="1" t="s">
        <v>122</v>
      </c>
      <c r="B256" s="1" t="s">
        <v>658</v>
      </c>
      <c r="C256" s="1" t="s">
        <v>313</v>
      </c>
      <c r="D256" s="142" t="s">
        <v>509</v>
      </c>
      <c r="E256" s="143"/>
      <c r="F256" s="1" t="s">
        <v>642</v>
      </c>
      <c r="G256" s="5">
        <v>10</v>
      </c>
      <c r="H256" s="5">
        <v>0</v>
      </c>
    </row>
    <row r="257" spans="1:8">
      <c r="A257" s="1" t="s">
        <v>123</v>
      </c>
      <c r="B257" s="1" t="s">
        <v>658</v>
      </c>
      <c r="C257" s="1" t="s">
        <v>314</v>
      </c>
      <c r="D257" s="142" t="s">
        <v>510</v>
      </c>
      <c r="E257" s="143"/>
      <c r="F257" s="1" t="s">
        <v>642</v>
      </c>
      <c r="G257" s="5">
        <v>10</v>
      </c>
      <c r="H257" s="5">
        <v>0</v>
      </c>
    </row>
    <row r="258" spans="1:8">
      <c r="A258" s="1" t="s">
        <v>124</v>
      </c>
      <c r="B258" s="1" t="s">
        <v>658</v>
      </c>
      <c r="C258" s="1" t="s">
        <v>315</v>
      </c>
      <c r="D258" s="142" t="s">
        <v>511</v>
      </c>
      <c r="E258" s="143"/>
      <c r="F258" s="1" t="s">
        <v>642</v>
      </c>
      <c r="G258" s="5">
        <v>20</v>
      </c>
      <c r="H258" s="5">
        <v>0</v>
      </c>
    </row>
    <row r="259" spans="1:8">
      <c r="A259" s="1" t="s">
        <v>125</v>
      </c>
      <c r="B259" s="1" t="s">
        <v>658</v>
      </c>
      <c r="C259" s="1" t="s">
        <v>316</v>
      </c>
      <c r="D259" s="142" t="s">
        <v>512</v>
      </c>
      <c r="E259" s="143"/>
      <c r="F259" s="1" t="s">
        <v>642</v>
      </c>
      <c r="G259" s="5">
        <v>10</v>
      </c>
      <c r="H259" s="5">
        <v>0</v>
      </c>
    </row>
    <row r="260" spans="1:8">
      <c r="A260" s="1" t="s">
        <v>126</v>
      </c>
      <c r="B260" s="1" t="s">
        <v>658</v>
      </c>
      <c r="C260" s="1" t="s">
        <v>317</v>
      </c>
      <c r="D260" s="142" t="s">
        <v>513</v>
      </c>
      <c r="E260" s="143"/>
      <c r="F260" s="1" t="s">
        <v>642</v>
      </c>
      <c r="G260" s="5">
        <v>10</v>
      </c>
      <c r="H260" s="5">
        <v>0</v>
      </c>
    </row>
    <row r="261" spans="1:8">
      <c r="A261" s="1" t="s">
        <v>127</v>
      </c>
      <c r="B261" s="1" t="s">
        <v>658</v>
      </c>
      <c r="C261" s="1" t="s">
        <v>318</v>
      </c>
      <c r="D261" s="142" t="s">
        <v>514</v>
      </c>
      <c r="E261" s="143"/>
      <c r="F261" s="1" t="s">
        <v>634</v>
      </c>
      <c r="G261" s="5">
        <v>1</v>
      </c>
      <c r="H261" s="5">
        <v>0</v>
      </c>
    </row>
    <row r="262" spans="1:8">
      <c r="A262" s="28"/>
      <c r="B262" s="28"/>
      <c r="C262" s="28" t="s">
        <v>33</v>
      </c>
      <c r="D262" s="171" t="s">
        <v>515</v>
      </c>
      <c r="E262" s="172"/>
      <c r="F262" s="28"/>
      <c r="G262" s="34"/>
      <c r="H262" s="34"/>
    </row>
    <row r="263" spans="1:8">
      <c r="A263" s="1" t="s">
        <v>128</v>
      </c>
      <c r="B263" s="1" t="s">
        <v>658</v>
      </c>
      <c r="C263" s="1" t="s">
        <v>319</v>
      </c>
      <c r="D263" s="142" t="s">
        <v>516</v>
      </c>
      <c r="E263" s="143"/>
      <c r="F263" s="1" t="s">
        <v>638</v>
      </c>
      <c r="G263" s="5">
        <v>1.8759999999999999</v>
      </c>
      <c r="H263" s="5">
        <v>0</v>
      </c>
    </row>
    <row r="264" spans="1:8" ht="12.2" customHeight="1">
      <c r="A264" s="1"/>
      <c r="B264" s="1"/>
      <c r="C264" s="1"/>
      <c r="D264" s="169" t="s">
        <v>745</v>
      </c>
      <c r="E264" s="170"/>
      <c r="F264" s="169"/>
      <c r="G264" s="35">
        <v>0.76800000000000002</v>
      </c>
      <c r="H264" s="38"/>
    </row>
    <row r="265" spans="1:8" ht="12.2" customHeight="1">
      <c r="A265" s="1"/>
      <c r="B265" s="1"/>
      <c r="C265" s="1"/>
      <c r="D265" s="169" t="s">
        <v>746</v>
      </c>
      <c r="E265" s="170"/>
      <c r="F265" s="169"/>
      <c r="G265" s="35">
        <v>0.1</v>
      </c>
      <c r="H265" s="38"/>
    </row>
    <row r="266" spans="1:8" ht="12.2" customHeight="1">
      <c r="A266" s="1"/>
      <c r="B266" s="1"/>
      <c r="C266" s="1"/>
      <c r="D266" s="169" t="s">
        <v>747</v>
      </c>
      <c r="E266" s="170"/>
      <c r="F266" s="169"/>
      <c r="G266" s="35">
        <v>1.008</v>
      </c>
      <c r="H266" s="38"/>
    </row>
    <row r="267" spans="1:8" ht="12.95" customHeight="1">
      <c r="C267" s="31" t="s">
        <v>672</v>
      </c>
      <c r="D267" s="167" t="s">
        <v>748</v>
      </c>
      <c r="E267" s="168"/>
      <c r="F267" s="168"/>
      <c r="G267" s="168"/>
    </row>
    <row r="268" spans="1:8">
      <c r="A268" s="1" t="s">
        <v>129</v>
      </c>
      <c r="B268" s="1" t="s">
        <v>658</v>
      </c>
      <c r="C268" s="1" t="s">
        <v>320</v>
      </c>
      <c r="D268" s="142" t="s">
        <v>517</v>
      </c>
      <c r="E268" s="143"/>
      <c r="F268" s="1" t="s">
        <v>636</v>
      </c>
      <c r="G268" s="5">
        <v>27.05</v>
      </c>
      <c r="H268" s="5">
        <v>0</v>
      </c>
    </row>
    <row r="269" spans="1:8" ht="12.2" customHeight="1">
      <c r="A269" s="1"/>
      <c r="B269" s="1"/>
      <c r="C269" s="1"/>
      <c r="D269" s="169" t="s">
        <v>749</v>
      </c>
      <c r="E269" s="170"/>
      <c r="F269" s="169"/>
      <c r="G269" s="35">
        <v>10.24</v>
      </c>
      <c r="H269" s="38"/>
    </row>
    <row r="270" spans="1:8" ht="12.2" customHeight="1">
      <c r="A270" s="1"/>
      <c r="B270" s="1"/>
      <c r="C270" s="1"/>
      <c r="D270" s="169" t="s">
        <v>750</v>
      </c>
      <c r="E270" s="170"/>
      <c r="F270" s="169"/>
      <c r="G270" s="35">
        <v>1.2</v>
      </c>
      <c r="H270" s="38"/>
    </row>
    <row r="271" spans="1:8" ht="12.2" customHeight="1">
      <c r="A271" s="1"/>
      <c r="B271" s="1"/>
      <c r="C271" s="1"/>
      <c r="D271" s="169" t="s">
        <v>751</v>
      </c>
      <c r="E271" s="170"/>
      <c r="F271" s="169"/>
      <c r="G271" s="35">
        <v>11.2</v>
      </c>
      <c r="H271" s="38"/>
    </row>
    <row r="272" spans="1:8" ht="12.2" customHeight="1">
      <c r="A272" s="1"/>
      <c r="B272" s="1"/>
      <c r="C272" s="1"/>
      <c r="D272" s="169" t="s">
        <v>692</v>
      </c>
      <c r="E272" s="170"/>
      <c r="F272" s="169"/>
      <c r="G272" s="35">
        <v>4.41</v>
      </c>
      <c r="H272" s="38"/>
    </row>
    <row r="273" spans="1:8">
      <c r="A273" s="1" t="s">
        <v>130</v>
      </c>
      <c r="B273" s="1" t="s">
        <v>658</v>
      </c>
      <c r="C273" s="1" t="s">
        <v>321</v>
      </c>
      <c r="D273" s="142" t="s">
        <v>518</v>
      </c>
      <c r="E273" s="143"/>
      <c r="F273" s="1" t="s">
        <v>636</v>
      </c>
      <c r="G273" s="5">
        <v>27.05</v>
      </c>
      <c r="H273" s="5">
        <v>0</v>
      </c>
    </row>
    <row r="274" spans="1:8" ht="12.2" customHeight="1">
      <c r="A274" s="1"/>
      <c r="B274" s="1"/>
      <c r="C274" s="1"/>
      <c r="D274" s="169" t="s">
        <v>749</v>
      </c>
      <c r="E274" s="170"/>
      <c r="F274" s="169"/>
      <c r="G274" s="35">
        <v>10.24</v>
      </c>
      <c r="H274" s="38"/>
    </row>
    <row r="275" spans="1:8" ht="12.2" customHeight="1">
      <c r="A275" s="1"/>
      <c r="B275" s="1"/>
      <c r="C275" s="1"/>
      <c r="D275" s="169" t="s">
        <v>750</v>
      </c>
      <c r="E275" s="170"/>
      <c r="F275" s="169"/>
      <c r="G275" s="35">
        <v>1.2</v>
      </c>
      <c r="H275" s="38"/>
    </row>
    <row r="276" spans="1:8" ht="12.2" customHeight="1">
      <c r="A276" s="1"/>
      <c r="B276" s="1"/>
      <c r="C276" s="1"/>
      <c r="D276" s="169" t="s">
        <v>751</v>
      </c>
      <c r="E276" s="170"/>
      <c r="F276" s="169"/>
      <c r="G276" s="35">
        <v>11.2</v>
      </c>
      <c r="H276" s="38"/>
    </row>
    <row r="277" spans="1:8" ht="12.2" customHeight="1">
      <c r="A277" s="1"/>
      <c r="B277" s="1"/>
      <c r="C277" s="1"/>
      <c r="D277" s="169" t="s">
        <v>692</v>
      </c>
      <c r="E277" s="170"/>
      <c r="F277" s="169"/>
      <c r="G277" s="35">
        <v>4.41</v>
      </c>
      <c r="H277" s="38"/>
    </row>
    <row r="278" spans="1:8">
      <c r="A278" s="1" t="s">
        <v>131</v>
      </c>
      <c r="B278" s="1" t="s">
        <v>658</v>
      </c>
      <c r="C278" s="1" t="s">
        <v>322</v>
      </c>
      <c r="D278" s="142" t="s">
        <v>519</v>
      </c>
      <c r="E278" s="143"/>
      <c r="F278" s="1" t="s">
        <v>638</v>
      </c>
      <c r="G278" s="5">
        <v>4.41</v>
      </c>
      <c r="H278" s="5">
        <v>0</v>
      </c>
    </row>
    <row r="279" spans="1:8" ht="12.2" customHeight="1">
      <c r="A279" s="1"/>
      <c r="B279" s="1"/>
      <c r="C279" s="1"/>
      <c r="D279" s="169" t="s">
        <v>692</v>
      </c>
      <c r="E279" s="170"/>
      <c r="F279" s="169"/>
      <c r="G279" s="35">
        <v>4.41</v>
      </c>
      <c r="H279" s="38"/>
    </row>
    <row r="280" spans="1:8" ht="12.95" customHeight="1">
      <c r="C280" s="31" t="s">
        <v>672</v>
      </c>
      <c r="D280" s="167" t="s">
        <v>752</v>
      </c>
      <c r="E280" s="168"/>
      <c r="F280" s="168"/>
      <c r="G280" s="168"/>
    </row>
    <row r="281" spans="1:8">
      <c r="A281" s="28"/>
      <c r="B281" s="28"/>
      <c r="C281" s="28" t="s">
        <v>40</v>
      </c>
      <c r="D281" s="171" t="s">
        <v>520</v>
      </c>
      <c r="E281" s="172"/>
      <c r="F281" s="28"/>
      <c r="G281" s="34"/>
      <c r="H281" s="34"/>
    </row>
    <row r="282" spans="1:8">
      <c r="A282" s="1" t="s">
        <v>132</v>
      </c>
      <c r="B282" s="1" t="s">
        <v>658</v>
      </c>
      <c r="C282" s="1" t="s">
        <v>323</v>
      </c>
      <c r="D282" s="142" t="s">
        <v>521</v>
      </c>
      <c r="E282" s="143"/>
      <c r="F282" s="1" t="s">
        <v>635</v>
      </c>
      <c r="G282" s="5">
        <v>13</v>
      </c>
      <c r="H282" s="5">
        <v>0</v>
      </c>
    </row>
    <row r="283" spans="1:8">
      <c r="A283" s="28"/>
      <c r="B283" s="28"/>
      <c r="C283" s="28" t="s">
        <v>49</v>
      </c>
      <c r="D283" s="171" t="s">
        <v>522</v>
      </c>
      <c r="E283" s="172"/>
      <c r="F283" s="28"/>
      <c r="G283" s="34"/>
      <c r="H283" s="34"/>
    </row>
    <row r="284" spans="1:8">
      <c r="A284" s="1" t="s">
        <v>133</v>
      </c>
      <c r="B284" s="1" t="s">
        <v>658</v>
      </c>
      <c r="C284" s="1" t="s">
        <v>324</v>
      </c>
      <c r="D284" s="142" t="s">
        <v>523</v>
      </c>
      <c r="E284" s="143"/>
      <c r="F284" s="1" t="s">
        <v>637</v>
      </c>
      <c r="G284" s="5">
        <v>2</v>
      </c>
      <c r="H284" s="5">
        <v>0</v>
      </c>
    </row>
    <row r="285" spans="1:8">
      <c r="A285" s="28"/>
      <c r="B285" s="28"/>
      <c r="C285" s="28" t="s">
        <v>62</v>
      </c>
      <c r="D285" s="171" t="s">
        <v>524</v>
      </c>
      <c r="E285" s="172"/>
      <c r="F285" s="28"/>
      <c r="G285" s="34"/>
      <c r="H285" s="34"/>
    </row>
    <row r="286" spans="1:8">
      <c r="A286" s="1" t="s">
        <v>134</v>
      </c>
      <c r="B286" s="1" t="s">
        <v>659</v>
      </c>
      <c r="C286" s="1" t="s">
        <v>326</v>
      </c>
      <c r="D286" s="142" t="s">
        <v>527</v>
      </c>
      <c r="E286" s="143"/>
      <c r="F286" s="1" t="s">
        <v>636</v>
      </c>
      <c r="G286" s="5">
        <v>412</v>
      </c>
      <c r="H286" s="5">
        <v>0</v>
      </c>
    </row>
    <row r="287" spans="1:8">
      <c r="A287" s="1" t="s">
        <v>135</v>
      </c>
      <c r="B287" s="1" t="s">
        <v>659</v>
      </c>
      <c r="C287" s="1" t="s">
        <v>327</v>
      </c>
      <c r="D287" s="142" t="s">
        <v>527</v>
      </c>
      <c r="E287" s="143"/>
      <c r="F287" s="1" t="s">
        <v>636</v>
      </c>
      <c r="G287" s="5">
        <v>425</v>
      </c>
      <c r="H287" s="5">
        <v>0</v>
      </c>
    </row>
    <row r="288" spans="1:8">
      <c r="A288" s="1" t="s">
        <v>136</v>
      </c>
      <c r="B288" s="1" t="s">
        <v>658</v>
      </c>
      <c r="C288" s="1" t="s">
        <v>326</v>
      </c>
      <c r="D288" s="142" t="s">
        <v>527</v>
      </c>
      <c r="E288" s="143"/>
      <c r="F288" s="1" t="s">
        <v>636</v>
      </c>
      <c r="G288" s="5">
        <v>654</v>
      </c>
      <c r="H288" s="5">
        <v>0</v>
      </c>
    </row>
    <row r="289" spans="1:8">
      <c r="A289" s="1" t="s">
        <v>137</v>
      </c>
      <c r="B289" s="1" t="s">
        <v>658</v>
      </c>
      <c r="C289" s="1" t="s">
        <v>327</v>
      </c>
      <c r="D289" s="142" t="s">
        <v>527</v>
      </c>
      <c r="E289" s="143"/>
      <c r="F289" s="1" t="s">
        <v>636</v>
      </c>
      <c r="G289" s="5">
        <v>821.67</v>
      </c>
      <c r="H289" s="5">
        <v>0</v>
      </c>
    </row>
    <row r="290" spans="1:8" ht="12.2" customHeight="1">
      <c r="A290" s="1"/>
      <c r="B290" s="1"/>
      <c r="C290" s="1"/>
      <c r="D290" s="169" t="s">
        <v>753</v>
      </c>
      <c r="E290" s="170"/>
      <c r="F290" s="169"/>
      <c r="G290" s="35">
        <v>685</v>
      </c>
      <c r="H290" s="38"/>
    </row>
    <row r="291" spans="1:8" ht="12.2" customHeight="1">
      <c r="A291" s="1"/>
      <c r="B291" s="1"/>
      <c r="C291" s="1"/>
      <c r="D291" s="169" t="s">
        <v>754</v>
      </c>
      <c r="E291" s="170"/>
      <c r="F291" s="169"/>
      <c r="G291" s="35">
        <v>56.67</v>
      </c>
      <c r="H291" s="38"/>
    </row>
    <row r="292" spans="1:8" ht="12.2" customHeight="1">
      <c r="A292" s="1"/>
      <c r="B292" s="1"/>
      <c r="C292" s="1"/>
      <c r="D292" s="169" t="s">
        <v>755</v>
      </c>
      <c r="E292" s="170"/>
      <c r="F292" s="169"/>
      <c r="G292" s="35">
        <v>80</v>
      </c>
      <c r="H292" s="38"/>
    </row>
    <row r="293" spans="1:8">
      <c r="A293" s="1" t="s">
        <v>138</v>
      </c>
      <c r="B293" s="1" t="s">
        <v>658</v>
      </c>
      <c r="C293" s="1" t="s">
        <v>325</v>
      </c>
      <c r="D293" s="142" t="s">
        <v>525</v>
      </c>
      <c r="E293" s="143"/>
      <c r="F293" s="1" t="s">
        <v>636</v>
      </c>
      <c r="G293" s="5">
        <v>39.299999999999997</v>
      </c>
      <c r="H293" s="5">
        <v>0</v>
      </c>
    </row>
    <row r="294" spans="1:8">
      <c r="A294" s="1" t="s">
        <v>139</v>
      </c>
      <c r="B294" s="1" t="s">
        <v>658</v>
      </c>
      <c r="C294" s="1" t="s">
        <v>328</v>
      </c>
      <c r="D294" s="142" t="s">
        <v>530</v>
      </c>
      <c r="E294" s="143"/>
      <c r="F294" s="1" t="s">
        <v>636</v>
      </c>
      <c r="G294" s="5">
        <v>119.3</v>
      </c>
      <c r="H294" s="5">
        <v>0</v>
      </c>
    </row>
    <row r="295" spans="1:8" ht="12.2" customHeight="1">
      <c r="A295" s="1"/>
      <c r="B295" s="1"/>
      <c r="C295" s="1"/>
      <c r="D295" s="169" t="s">
        <v>756</v>
      </c>
      <c r="E295" s="170"/>
      <c r="F295" s="169"/>
      <c r="G295" s="35">
        <v>119.3</v>
      </c>
      <c r="H295" s="38"/>
    </row>
    <row r="296" spans="1:8">
      <c r="A296" s="2" t="s">
        <v>140</v>
      </c>
      <c r="B296" s="2" t="s">
        <v>658</v>
      </c>
      <c r="C296" s="2" t="s">
        <v>329</v>
      </c>
      <c r="D296" s="155" t="s">
        <v>531</v>
      </c>
      <c r="E296" s="156"/>
      <c r="F296" s="2" t="s">
        <v>636</v>
      </c>
      <c r="G296" s="6">
        <v>131.22999999999999</v>
      </c>
      <c r="H296" s="6">
        <v>0</v>
      </c>
    </row>
    <row r="297" spans="1:8" ht="12.2" customHeight="1">
      <c r="A297" s="2"/>
      <c r="B297" s="2"/>
      <c r="C297" s="2"/>
      <c r="D297" s="173" t="s">
        <v>757</v>
      </c>
      <c r="E297" s="174"/>
      <c r="F297" s="173"/>
      <c r="G297" s="36">
        <v>131.22999999999999</v>
      </c>
      <c r="H297" s="39"/>
    </row>
    <row r="298" spans="1:8" ht="51.4" customHeight="1">
      <c r="C298" s="31" t="s">
        <v>672</v>
      </c>
      <c r="D298" s="167" t="s">
        <v>758</v>
      </c>
      <c r="E298" s="168"/>
      <c r="F298" s="168"/>
      <c r="G298" s="168"/>
    </row>
    <row r="299" spans="1:8">
      <c r="A299" s="28"/>
      <c r="B299" s="28"/>
      <c r="C299" s="28" t="s">
        <v>63</v>
      </c>
      <c r="D299" s="171" t="s">
        <v>532</v>
      </c>
      <c r="E299" s="172"/>
      <c r="F299" s="28"/>
      <c r="G299" s="34"/>
      <c r="H299" s="34"/>
    </row>
    <row r="300" spans="1:8">
      <c r="A300" s="1" t="s">
        <v>141</v>
      </c>
      <c r="B300" s="1" t="s">
        <v>659</v>
      </c>
      <c r="C300" s="1" t="s">
        <v>330</v>
      </c>
      <c r="D300" s="142" t="s">
        <v>533</v>
      </c>
      <c r="E300" s="143"/>
      <c r="F300" s="1" t="s">
        <v>636</v>
      </c>
      <c r="G300" s="5">
        <v>391.5</v>
      </c>
      <c r="H300" s="5">
        <v>0</v>
      </c>
    </row>
    <row r="301" spans="1:8">
      <c r="A301" s="1" t="s">
        <v>142</v>
      </c>
      <c r="B301" s="1" t="s">
        <v>659</v>
      </c>
      <c r="C301" s="1" t="s">
        <v>331</v>
      </c>
      <c r="D301" s="142" t="s">
        <v>535</v>
      </c>
      <c r="E301" s="143"/>
      <c r="F301" s="1" t="s">
        <v>636</v>
      </c>
      <c r="G301" s="5">
        <v>391.5</v>
      </c>
      <c r="H301" s="5">
        <v>0</v>
      </c>
    </row>
    <row r="302" spans="1:8">
      <c r="A302" s="1" t="s">
        <v>143</v>
      </c>
      <c r="B302" s="1" t="s">
        <v>659</v>
      </c>
      <c r="C302" s="1" t="s">
        <v>332</v>
      </c>
      <c r="D302" s="142" t="s">
        <v>536</v>
      </c>
      <c r="E302" s="143"/>
      <c r="F302" s="1" t="s">
        <v>636</v>
      </c>
      <c r="G302" s="5">
        <v>391.5</v>
      </c>
      <c r="H302" s="5">
        <v>0</v>
      </c>
    </row>
    <row r="303" spans="1:8">
      <c r="A303" s="1" t="s">
        <v>144</v>
      </c>
      <c r="B303" s="1" t="s">
        <v>659</v>
      </c>
      <c r="C303" s="1" t="s">
        <v>333</v>
      </c>
      <c r="D303" s="142" t="s">
        <v>537</v>
      </c>
      <c r="E303" s="143"/>
      <c r="F303" s="1" t="s">
        <v>636</v>
      </c>
      <c r="G303" s="5">
        <v>391.5</v>
      </c>
      <c r="H303" s="5">
        <v>0</v>
      </c>
    </row>
    <row r="304" spans="1:8">
      <c r="A304" s="1" t="s">
        <v>145</v>
      </c>
      <c r="B304" s="1" t="s">
        <v>658</v>
      </c>
      <c r="C304" s="1" t="s">
        <v>330</v>
      </c>
      <c r="D304" s="142" t="s">
        <v>533</v>
      </c>
      <c r="E304" s="143"/>
      <c r="F304" s="1" t="s">
        <v>636</v>
      </c>
      <c r="G304" s="5">
        <v>622</v>
      </c>
      <c r="H304" s="5">
        <v>0</v>
      </c>
    </row>
    <row r="305" spans="1:8">
      <c r="A305" s="1" t="s">
        <v>146</v>
      </c>
      <c r="B305" s="1" t="s">
        <v>658</v>
      </c>
      <c r="C305" s="1" t="s">
        <v>331</v>
      </c>
      <c r="D305" s="142" t="s">
        <v>535</v>
      </c>
      <c r="E305" s="143"/>
      <c r="F305" s="1" t="s">
        <v>636</v>
      </c>
      <c r="G305" s="5">
        <v>622</v>
      </c>
      <c r="H305" s="5">
        <v>0</v>
      </c>
    </row>
    <row r="306" spans="1:8">
      <c r="A306" s="1" t="s">
        <v>147</v>
      </c>
      <c r="B306" s="1" t="s">
        <v>658</v>
      </c>
      <c r="C306" s="1" t="s">
        <v>332</v>
      </c>
      <c r="D306" s="142" t="s">
        <v>536</v>
      </c>
      <c r="E306" s="143"/>
      <c r="F306" s="1" t="s">
        <v>636</v>
      </c>
      <c r="G306" s="5">
        <v>622</v>
      </c>
      <c r="H306" s="5">
        <v>0</v>
      </c>
    </row>
    <row r="307" spans="1:8">
      <c r="A307" s="1" t="s">
        <v>148</v>
      </c>
      <c r="B307" s="1" t="s">
        <v>658</v>
      </c>
      <c r="C307" s="1" t="s">
        <v>333</v>
      </c>
      <c r="D307" s="142" t="s">
        <v>537</v>
      </c>
      <c r="E307" s="143"/>
      <c r="F307" s="1" t="s">
        <v>636</v>
      </c>
      <c r="G307" s="5">
        <v>622</v>
      </c>
      <c r="H307" s="5">
        <v>0</v>
      </c>
    </row>
    <row r="308" spans="1:8">
      <c r="A308" s="28"/>
      <c r="B308" s="28"/>
      <c r="C308" s="28" t="s">
        <v>65</v>
      </c>
      <c r="D308" s="171" t="s">
        <v>538</v>
      </c>
      <c r="E308" s="172"/>
      <c r="F308" s="28"/>
      <c r="G308" s="34"/>
      <c r="H308" s="34"/>
    </row>
    <row r="309" spans="1:8">
      <c r="A309" s="1" t="s">
        <v>149</v>
      </c>
      <c r="B309" s="1" t="s">
        <v>658</v>
      </c>
      <c r="C309" s="1" t="s">
        <v>334</v>
      </c>
      <c r="D309" s="142" t="s">
        <v>539</v>
      </c>
      <c r="E309" s="143"/>
      <c r="F309" s="1" t="s">
        <v>636</v>
      </c>
      <c r="G309" s="5">
        <v>19.25</v>
      </c>
      <c r="H309" s="5">
        <v>0</v>
      </c>
    </row>
    <row r="310" spans="1:8" ht="12.2" customHeight="1">
      <c r="A310" s="1"/>
      <c r="B310" s="1"/>
      <c r="C310" s="1"/>
      <c r="D310" s="169" t="s">
        <v>679</v>
      </c>
      <c r="E310" s="170"/>
      <c r="F310" s="169"/>
      <c r="G310" s="35">
        <v>19.25</v>
      </c>
      <c r="H310" s="38"/>
    </row>
    <row r="311" spans="1:8" ht="38.450000000000003" customHeight="1">
      <c r="C311" s="31" t="s">
        <v>672</v>
      </c>
      <c r="D311" s="167" t="s">
        <v>759</v>
      </c>
      <c r="E311" s="168"/>
      <c r="F311" s="168"/>
      <c r="G311" s="168"/>
    </row>
    <row r="312" spans="1:8">
      <c r="A312" s="1" t="s">
        <v>150</v>
      </c>
      <c r="B312" s="1" t="s">
        <v>658</v>
      </c>
      <c r="C312" s="1" t="s">
        <v>335</v>
      </c>
      <c r="D312" s="142" t="s">
        <v>540</v>
      </c>
      <c r="E312" s="143"/>
      <c r="F312" s="1" t="s">
        <v>635</v>
      </c>
      <c r="G312" s="5">
        <v>5.3</v>
      </c>
      <c r="H312" s="5">
        <v>0</v>
      </c>
    </row>
    <row r="313" spans="1:8">
      <c r="A313" s="1" t="s">
        <v>151</v>
      </c>
      <c r="B313" s="1" t="s">
        <v>658</v>
      </c>
      <c r="C313" s="1" t="s">
        <v>334</v>
      </c>
      <c r="D313" s="142" t="s">
        <v>539</v>
      </c>
      <c r="E313" s="143"/>
      <c r="F313" s="1" t="s">
        <v>636</v>
      </c>
      <c r="G313" s="5">
        <v>51.25</v>
      </c>
      <c r="H313" s="5">
        <v>0</v>
      </c>
    </row>
    <row r="314" spans="1:8" ht="12.2" customHeight="1">
      <c r="A314" s="1"/>
      <c r="B314" s="1"/>
      <c r="C314" s="1"/>
      <c r="D314" s="169" t="s">
        <v>760</v>
      </c>
      <c r="E314" s="170"/>
      <c r="F314" s="169"/>
      <c r="G314" s="35">
        <v>51.25</v>
      </c>
      <c r="H314" s="38"/>
    </row>
    <row r="315" spans="1:8" ht="38.450000000000003" customHeight="1">
      <c r="C315" s="31" t="s">
        <v>672</v>
      </c>
      <c r="D315" s="167" t="s">
        <v>759</v>
      </c>
      <c r="E315" s="168"/>
      <c r="F315" s="168"/>
      <c r="G315" s="168"/>
    </row>
    <row r="316" spans="1:8">
      <c r="A316" s="2" t="s">
        <v>152</v>
      </c>
      <c r="B316" s="2" t="s">
        <v>658</v>
      </c>
      <c r="C316" s="2" t="s">
        <v>336</v>
      </c>
      <c r="D316" s="155" t="s">
        <v>542</v>
      </c>
      <c r="E316" s="156"/>
      <c r="F316" s="2" t="s">
        <v>636</v>
      </c>
      <c r="G316" s="6">
        <v>56.375</v>
      </c>
      <c r="H316" s="6">
        <v>0</v>
      </c>
    </row>
    <row r="317" spans="1:8" ht="12.2" customHeight="1">
      <c r="A317" s="2"/>
      <c r="B317" s="2"/>
      <c r="C317" s="2"/>
      <c r="D317" s="173" t="s">
        <v>761</v>
      </c>
      <c r="E317" s="174"/>
      <c r="F317" s="173"/>
      <c r="G317" s="36">
        <v>56.375</v>
      </c>
      <c r="H317" s="39"/>
    </row>
    <row r="318" spans="1:8" ht="12.95" customHeight="1">
      <c r="C318" s="31" t="s">
        <v>672</v>
      </c>
      <c r="D318" s="167" t="s">
        <v>762</v>
      </c>
      <c r="E318" s="168"/>
      <c r="F318" s="168"/>
      <c r="G318" s="168"/>
    </row>
    <row r="319" spans="1:8">
      <c r="A319" s="1" t="s">
        <v>153</v>
      </c>
      <c r="B319" s="1" t="s">
        <v>658</v>
      </c>
      <c r="C319" s="1" t="s">
        <v>337</v>
      </c>
      <c r="D319" s="142" t="s">
        <v>543</v>
      </c>
      <c r="E319" s="143"/>
      <c r="F319" s="1" t="s">
        <v>635</v>
      </c>
      <c r="G319" s="5">
        <v>45</v>
      </c>
      <c r="H319" s="5">
        <v>0</v>
      </c>
    </row>
    <row r="320" spans="1:8">
      <c r="A320" s="1" t="s">
        <v>154</v>
      </c>
      <c r="B320" s="1" t="s">
        <v>658</v>
      </c>
      <c r="C320" s="1" t="s">
        <v>338</v>
      </c>
      <c r="D320" s="142" t="s">
        <v>544</v>
      </c>
      <c r="E320" s="143"/>
      <c r="F320" s="1" t="s">
        <v>636</v>
      </c>
      <c r="G320" s="5">
        <v>2.1</v>
      </c>
      <c r="H320" s="5">
        <v>0</v>
      </c>
    </row>
    <row r="321" spans="1:8">
      <c r="A321" s="1" t="s">
        <v>155</v>
      </c>
      <c r="B321" s="1" t="s">
        <v>658</v>
      </c>
      <c r="C321" s="1" t="s">
        <v>339</v>
      </c>
      <c r="D321" s="142" t="s">
        <v>544</v>
      </c>
      <c r="E321" s="143"/>
      <c r="F321" s="1" t="s">
        <v>636</v>
      </c>
      <c r="G321" s="5">
        <v>40</v>
      </c>
      <c r="H321" s="5">
        <v>0</v>
      </c>
    </row>
    <row r="322" spans="1:8" ht="38.450000000000003" customHeight="1">
      <c r="C322" s="31" t="s">
        <v>672</v>
      </c>
      <c r="D322" s="167" t="s">
        <v>763</v>
      </c>
      <c r="E322" s="168"/>
      <c r="F322" s="168"/>
      <c r="G322" s="168"/>
    </row>
    <row r="323" spans="1:8" ht="12.95" customHeight="1">
      <c r="C323" s="30" t="s">
        <v>660</v>
      </c>
      <c r="D323" s="175" t="s">
        <v>764</v>
      </c>
      <c r="E323" s="176"/>
      <c r="F323" s="176"/>
      <c r="G323" s="176"/>
    </row>
    <row r="324" spans="1:8">
      <c r="A324" s="28"/>
      <c r="B324" s="28"/>
      <c r="C324" s="28" t="s">
        <v>69</v>
      </c>
      <c r="D324" s="171" t="s">
        <v>546</v>
      </c>
      <c r="E324" s="172"/>
      <c r="F324" s="28"/>
      <c r="G324" s="34"/>
      <c r="H324" s="34"/>
    </row>
    <row r="325" spans="1:8">
      <c r="A325" s="1" t="s">
        <v>156</v>
      </c>
      <c r="B325" s="1" t="s">
        <v>658</v>
      </c>
      <c r="C325" s="1" t="s">
        <v>340</v>
      </c>
      <c r="D325" s="142" t="s">
        <v>547</v>
      </c>
      <c r="E325" s="143"/>
      <c r="F325" s="1" t="s">
        <v>636</v>
      </c>
      <c r="G325" s="5">
        <v>7.2</v>
      </c>
      <c r="H325" s="5">
        <v>0</v>
      </c>
    </row>
    <row r="326" spans="1:8" ht="12.95" customHeight="1">
      <c r="C326" s="31" t="s">
        <v>672</v>
      </c>
      <c r="D326" s="167" t="s">
        <v>765</v>
      </c>
      <c r="E326" s="168"/>
      <c r="F326" s="168"/>
      <c r="G326" s="168"/>
    </row>
    <row r="327" spans="1:8">
      <c r="A327" s="28"/>
      <c r="B327" s="28"/>
      <c r="C327" s="28" t="s">
        <v>341</v>
      </c>
      <c r="D327" s="171" t="s">
        <v>548</v>
      </c>
      <c r="E327" s="172"/>
      <c r="F327" s="28"/>
      <c r="G327" s="34"/>
      <c r="H327" s="34"/>
    </row>
    <row r="328" spans="1:8">
      <c r="A328" s="1" t="s">
        <v>157</v>
      </c>
      <c r="B328" s="1" t="s">
        <v>658</v>
      </c>
      <c r="C328" s="1" t="s">
        <v>342</v>
      </c>
      <c r="D328" s="142" t="s">
        <v>549</v>
      </c>
      <c r="E328" s="143"/>
      <c r="F328" s="1" t="s">
        <v>637</v>
      </c>
      <c r="G328" s="5">
        <v>1</v>
      </c>
      <c r="H328" s="5">
        <v>0</v>
      </c>
    </row>
    <row r="329" spans="1:8">
      <c r="A329" s="1" t="s">
        <v>158</v>
      </c>
      <c r="B329" s="1" t="s">
        <v>658</v>
      </c>
      <c r="C329" s="1" t="s">
        <v>343</v>
      </c>
      <c r="D329" s="142" t="s">
        <v>550</v>
      </c>
      <c r="E329" s="143"/>
      <c r="F329" s="1" t="s">
        <v>637</v>
      </c>
      <c r="G329" s="5">
        <v>2</v>
      </c>
      <c r="H329" s="5">
        <v>0</v>
      </c>
    </row>
    <row r="330" spans="1:8">
      <c r="A330" s="1" t="s">
        <v>159</v>
      </c>
      <c r="B330" s="1" t="s">
        <v>658</v>
      </c>
      <c r="C330" s="1" t="s">
        <v>344</v>
      </c>
      <c r="D330" s="142" t="s">
        <v>551</v>
      </c>
      <c r="E330" s="143"/>
      <c r="F330" s="1" t="s">
        <v>635</v>
      </c>
      <c r="G330" s="5">
        <v>12.25</v>
      </c>
      <c r="H330" s="5">
        <v>0</v>
      </c>
    </row>
    <row r="331" spans="1:8" ht="12.2" customHeight="1">
      <c r="A331" s="1"/>
      <c r="B331" s="1"/>
      <c r="C331" s="1"/>
      <c r="D331" s="169" t="s">
        <v>766</v>
      </c>
      <c r="E331" s="170"/>
      <c r="F331" s="169"/>
      <c r="G331" s="35">
        <v>12.25</v>
      </c>
      <c r="H331" s="38"/>
    </row>
    <row r="332" spans="1:8" ht="25.7" customHeight="1">
      <c r="C332" s="31" t="s">
        <v>672</v>
      </c>
      <c r="D332" s="167" t="s">
        <v>767</v>
      </c>
      <c r="E332" s="168"/>
      <c r="F332" s="168"/>
      <c r="G332" s="168"/>
    </row>
    <row r="333" spans="1:8">
      <c r="A333" s="1" t="s">
        <v>160</v>
      </c>
      <c r="B333" s="1" t="s">
        <v>658</v>
      </c>
      <c r="C333" s="1" t="s">
        <v>345</v>
      </c>
      <c r="D333" s="142" t="s">
        <v>553</v>
      </c>
      <c r="E333" s="143"/>
      <c r="F333" s="1" t="s">
        <v>643</v>
      </c>
      <c r="G333" s="5">
        <v>141.75810000000001</v>
      </c>
      <c r="H333" s="5">
        <v>0</v>
      </c>
    </row>
    <row r="334" spans="1:8">
      <c r="A334" s="28"/>
      <c r="B334" s="28"/>
      <c r="C334" s="28" t="s">
        <v>346</v>
      </c>
      <c r="D334" s="171" t="s">
        <v>554</v>
      </c>
      <c r="E334" s="172"/>
      <c r="F334" s="28"/>
      <c r="G334" s="34"/>
      <c r="H334" s="34"/>
    </row>
    <row r="335" spans="1:8">
      <c r="A335" s="1" t="s">
        <v>161</v>
      </c>
      <c r="B335" s="1" t="s">
        <v>658</v>
      </c>
      <c r="C335" s="1" t="s">
        <v>347</v>
      </c>
      <c r="D335" s="142" t="s">
        <v>555</v>
      </c>
      <c r="E335" s="143"/>
      <c r="F335" s="1" t="s">
        <v>636</v>
      </c>
      <c r="G335" s="5">
        <v>38.5</v>
      </c>
      <c r="H335" s="5">
        <v>0</v>
      </c>
    </row>
    <row r="336" spans="1:8">
      <c r="A336" s="1" t="s">
        <v>162</v>
      </c>
      <c r="B336" s="1" t="s">
        <v>658</v>
      </c>
      <c r="C336" s="1" t="s">
        <v>348</v>
      </c>
      <c r="D336" s="142" t="s">
        <v>557</v>
      </c>
      <c r="E336" s="143"/>
      <c r="F336" s="1" t="s">
        <v>635</v>
      </c>
      <c r="G336" s="5">
        <v>110.73</v>
      </c>
      <c r="H336" s="5">
        <v>0</v>
      </c>
    </row>
    <row r="337" spans="1:8" ht="12.2" customHeight="1">
      <c r="A337" s="1"/>
      <c r="B337" s="1"/>
      <c r="C337" s="1"/>
      <c r="D337" s="169" t="s">
        <v>768</v>
      </c>
      <c r="E337" s="170"/>
      <c r="F337" s="169"/>
      <c r="G337" s="35">
        <v>110.73</v>
      </c>
      <c r="H337" s="38"/>
    </row>
    <row r="338" spans="1:8" ht="38.450000000000003" customHeight="1">
      <c r="C338" s="31" t="s">
        <v>672</v>
      </c>
      <c r="D338" s="167" t="s">
        <v>769</v>
      </c>
      <c r="E338" s="168"/>
      <c r="F338" s="168"/>
      <c r="G338" s="168"/>
    </row>
    <row r="339" spans="1:8">
      <c r="A339" s="1" t="s">
        <v>163</v>
      </c>
      <c r="B339" s="1" t="s">
        <v>658</v>
      </c>
      <c r="C339" s="1" t="s">
        <v>349</v>
      </c>
      <c r="D339" s="142" t="s">
        <v>558</v>
      </c>
      <c r="E339" s="143"/>
      <c r="F339" s="1" t="s">
        <v>635</v>
      </c>
      <c r="G339" s="5">
        <v>61.2</v>
      </c>
      <c r="H339" s="5">
        <v>0</v>
      </c>
    </row>
    <row r="340" spans="1:8" ht="38.450000000000003" customHeight="1">
      <c r="C340" s="31" t="s">
        <v>672</v>
      </c>
      <c r="D340" s="167" t="s">
        <v>769</v>
      </c>
      <c r="E340" s="168"/>
      <c r="F340" s="168"/>
      <c r="G340" s="168"/>
    </row>
    <row r="341" spans="1:8">
      <c r="A341" s="1" t="s">
        <v>164</v>
      </c>
      <c r="B341" s="1" t="s">
        <v>658</v>
      </c>
      <c r="C341" s="1" t="s">
        <v>350</v>
      </c>
      <c r="D341" s="142" t="s">
        <v>559</v>
      </c>
      <c r="E341" s="143"/>
      <c r="F341" s="1" t="s">
        <v>635</v>
      </c>
      <c r="G341" s="5">
        <v>136.19999999999999</v>
      </c>
      <c r="H341" s="5">
        <v>0</v>
      </c>
    </row>
    <row r="342" spans="1:8" ht="12.2" customHeight="1">
      <c r="A342" s="1"/>
      <c r="B342" s="1"/>
      <c r="C342" s="1"/>
      <c r="D342" s="169" t="s">
        <v>770</v>
      </c>
      <c r="E342" s="170"/>
      <c r="F342" s="169"/>
      <c r="G342" s="35">
        <v>136.19999999999999</v>
      </c>
      <c r="H342" s="38"/>
    </row>
    <row r="343" spans="1:8" ht="38.450000000000003" customHeight="1">
      <c r="C343" s="31" t="s">
        <v>672</v>
      </c>
      <c r="D343" s="167" t="s">
        <v>769</v>
      </c>
      <c r="E343" s="168"/>
      <c r="F343" s="168"/>
      <c r="G343" s="168"/>
    </row>
    <row r="344" spans="1:8">
      <c r="A344" s="2" t="s">
        <v>165</v>
      </c>
      <c r="B344" s="2" t="s">
        <v>658</v>
      </c>
      <c r="C344" s="2" t="s">
        <v>351</v>
      </c>
      <c r="D344" s="155" t="s">
        <v>560</v>
      </c>
      <c r="E344" s="156"/>
      <c r="F344" s="2" t="s">
        <v>638</v>
      </c>
      <c r="G344" s="6">
        <v>5.367</v>
      </c>
      <c r="H344" s="6">
        <v>0</v>
      </c>
    </row>
    <row r="345" spans="1:8">
      <c r="A345" s="1" t="s">
        <v>166</v>
      </c>
      <c r="B345" s="1" t="s">
        <v>658</v>
      </c>
      <c r="C345" s="1" t="s">
        <v>352</v>
      </c>
      <c r="D345" s="142" t="s">
        <v>561</v>
      </c>
      <c r="E345" s="143"/>
      <c r="F345" s="1" t="s">
        <v>638</v>
      </c>
      <c r="G345" s="5">
        <v>5.367</v>
      </c>
      <c r="H345" s="5">
        <v>0</v>
      </c>
    </row>
    <row r="346" spans="1:8" ht="12.95" customHeight="1">
      <c r="C346" s="31" t="s">
        <v>672</v>
      </c>
      <c r="D346" s="167" t="s">
        <v>771</v>
      </c>
      <c r="E346" s="168"/>
      <c r="F346" s="168"/>
      <c r="G346" s="168"/>
    </row>
    <row r="347" spans="1:8">
      <c r="A347" s="1" t="s">
        <v>167</v>
      </c>
      <c r="B347" s="1" t="s">
        <v>658</v>
      </c>
      <c r="C347" s="1" t="s">
        <v>353</v>
      </c>
      <c r="D347" s="142" t="s">
        <v>562</v>
      </c>
      <c r="E347" s="143"/>
      <c r="F347" s="1" t="s">
        <v>638</v>
      </c>
      <c r="G347" s="5">
        <v>5.367</v>
      </c>
      <c r="H347" s="5">
        <v>0</v>
      </c>
    </row>
    <row r="348" spans="1:8" ht="25.7" customHeight="1">
      <c r="C348" s="31" t="s">
        <v>672</v>
      </c>
      <c r="D348" s="167" t="s">
        <v>772</v>
      </c>
      <c r="E348" s="168"/>
      <c r="F348" s="168"/>
      <c r="G348" s="168"/>
    </row>
    <row r="349" spans="1:8">
      <c r="A349" s="1" t="s">
        <v>168</v>
      </c>
      <c r="B349" s="1" t="s">
        <v>658</v>
      </c>
      <c r="C349" s="1" t="s">
        <v>354</v>
      </c>
      <c r="D349" s="142" t="s">
        <v>563</v>
      </c>
      <c r="E349" s="143"/>
      <c r="F349" s="1" t="s">
        <v>636</v>
      </c>
      <c r="G349" s="5">
        <v>153.9956</v>
      </c>
      <c r="H349" s="5">
        <v>0</v>
      </c>
    </row>
    <row r="350" spans="1:8" ht="12.2" customHeight="1">
      <c r="A350" s="1"/>
      <c r="B350" s="1"/>
      <c r="C350" s="1"/>
      <c r="D350" s="169" t="s">
        <v>773</v>
      </c>
      <c r="E350" s="170"/>
      <c r="F350" s="169"/>
      <c r="G350" s="35">
        <v>52.097999999999999</v>
      </c>
      <c r="H350" s="38"/>
    </row>
    <row r="351" spans="1:8" ht="12.2" customHeight="1">
      <c r="A351" s="1"/>
      <c r="B351" s="1"/>
      <c r="C351" s="1"/>
      <c r="D351" s="169" t="s">
        <v>774</v>
      </c>
      <c r="E351" s="170"/>
      <c r="F351" s="169"/>
      <c r="G351" s="35">
        <v>27.1296</v>
      </c>
      <c r="H351" s="38"/>
    </row>
    <row r="352" spans="1:8" ht="12.2" customHeight="1">
      <c r="A352" s="1"/>
      <c r="B352" s="1"/>
      <c r="C352" s="1"/>
      <c r="D352" s="169" t="s">
        <v>775</v>
      </c>
      <c r="E352" s="170"/>
      <c r="F352" s="169"/>
      <c r="G352" s="35">
        <v>15.84</v>
      </c>
      <c r="H352" s="38"/>
    </row>
    <row r="353" spans="1:8" ht="12.2" customHeight="1">
      <c r="A353" s="1"/>
      <c r="B353" s="1"/>
      <c r="C353" s="1"/>
      <c r="D353" s="169" t="s">
        <v>776</v>
      </c>
      <c r="E353" s="170"/>
      <c r="F353" s="169"/>
      <c r="G353" s="35">
        <v>26.928000000000001</v>
      </c>
      <c r="H353" s="38"/>
    </row>
    <row r="354" spans="1:8" ht="12.2" customHeight="1">
      <c r="A354" s="1"/>
      <c r="B354" s="1"/>
      <c r="C354" s="1"/>
      <c r="D354" s="169" t="s">
        <v>777</v>
      </c>
      <c r="E354" s="170"/>
      <c r="F354" s="169"/>
      <c r="G354" s="35">
        <v>32</v>
      </c>
      <c r="H354" s="38"/>
    </row>
    <row r="355" spans="1:8" ht="25.7" customHeight="1">
      <c r="C355" s="31" t="s">
        <v>672</v>
      </c>
      <c r="D355" s="167" t="s">
        <v>778</v>
      </c>
      <c r="E355" s="168"/>
      <c r="F355" s="168"/>
      <c r="G355" s="168"/>
    </row>
    <row r="356" spans="1:8">
      <c r="A356" s="1" t="s">
        <v>169</v>
      </c>
      <c r="B356" s="1" t="s">
        <v>658</v>
      </c>
      <c r="C356" s="1" t="s">
        <v>355</v>
      </c>
      <c r="D356" s="142" t="s">
        <v>564</v>
      </c>
      <c r="E356" s="143"/>
      <c r="F356" s="1" t="s">
        <v>643</v>
      </c>
      <c r="G356" s="5">
        <v>1821.9103</v>
      </c>
      <c r="H356" s="5">
        <v>0</v>
      </c>
    </row>
    <row r="357" spans="1:8">
      <c r="A357" s="28"/>
      <c r="B357" s="28"/>
      <c r="C357" s="28" t="s">
        <v>356</v>
      </c>
      <c r="D357" s="171" t="s">
        <v>565</v>
      </c>
      <c r="E357" s="172"/>
      <c r="F357" s="28"/>
      <c r="G357" s="34"/>
      <c r="H357" s="34"/>
    </row>
    <row r="358" spans="1:8">
      <c r="A358" s="1" t="s">
        <v>170</v>
      </c>
      <c r="B358" s="1" t="s">
        <v>658</v>
      </c>
      <c r="C358" s="1" t="s">
        <v>357</v>
      </c>
      <c r="D358" s="142" t="s">
        <v>566</v>
      </c>
      <c r="E358" s="143"/>
      <c r="F358" s="1" t="s">
        <v>635</v>
      </c>
      <c r="G358" s="5">
        <v>14</v>
      </c>
      <c r="H358" s="5">
        <v>0</v>
      </c>
    </row>
    <row r="359" spans="1:8">
      <c r="A359" s="1" t="s">
        <v>171</v>
      </c>
      <c r="B359" s="1" t="s">
        <v>658</v>
      </c>
      <c r="C359" s="1" t="s">
        <v>358</v>
      </c>
      <c r="D359" s="142" t="s">
        <v>567</v>
      </c>
      <c r="E359" s="143"/>
      <c r="F359" s="1" t="s">
        <v>635</v>
      </c>
      <c r="G359" s="5">
        <v>5.65</v>
      </c>
      <c r="H359" s="5">
        <v>0</v>
      </c>
    </row>
    <row r="360" spans="1:8">
      <c r="A360" s="1" t="s">
        <v>172</v>
      </c>
      <c r="B360" s="1" t="s">
        <v>658</v>
      </c>
      <c r="C360" s="1" t="s">
        <v>359</v>
      </c>
      <c r="D360" s="142" t="s">
        <v>568</v>
      </c>
      <c r="E360" s="143"/>
      <c r="F360" s="1" t="s">
        <v>635</v>
      </c>
      <c r="G360" s="5">
        <v>15.8</v>
      </c>
      <c r="H360" s="5">
        <v>0</v>
      </c>
    </row>
    <row r="361" spans="1:8">
      <c r="A361" s="1" t="s">
        <v>173</v>
      </c>
      <c r="B361" s="1" t="s">
        <v>658</v>
      </c>
      <c r="C361" s="1" t="s">
        <v>359</v>
      </c>
      <c r="D361" s="142" t="s">
        <v>569</v>
      </c>
      <c r="E361" s="143"/>
      <c r="F361" s="1" t="s">
        <v>635</v>
      </c>
      <c r="G361" s="5">
        <v>16.22</v>
      </c>
      <c r="H361" s="5">
        <v>0</v>
      </c>
    </row>
    <row r="362" spans="1:8">
      <c r="A362" s="1" t="s">
        <v>174</v>
      </c>
      <c r="B362" s="1" t="s">
        <v>658</v>
      </c>
      <c r="C362" s="1" t="s">
        <v>360</v>
      </c>
      <c r="D362" s="142" t="s">
        <v>570</v>
      </c>
      <c r="E362" s="143"/>
      <c r="F362" s="1" t="s">
        <v>635</v>
      </c>
      <c r="G362" s="5">
        <v>12.59</v>
      </c>
      <c r="H362" s="5">
        <v>0</v>
      </c>
    </row>
    <row r="363" spans="1:8">
      <c r="A363" s="1" t="s">
        <v>175</v>
      </c>
      <c r="B363" s="1" t="s">
        <v>658</v>
      </c>
      <c r="C363" s="1" t="s">
        <v>361</v>
      </c>
      <c r="D363" s="142" t="s">
        <v>571</v>
      </c>
      <c r="E363" s="143"/>
      <c r="F363" s="1" t="s">
        <v>637</v>
      </c>
      <c r="G363" s="5">
        <v>2</v>
      </c>
      <c r="H363" s="5">
        <v>0</v>
      </c>
    </row>
    <row r="364" spans="1:8" ht="12.95" customHeight="1">
      <c r="C364" s="31" t="s">
        <v>672</v>
      </c>
      <c r="D364" s="167" t="s">
        <v>779</v>
      </c>
      <c r="E364" s="168"/>
      <c r="F364" s="168"/>
      <c r="G364" s="168"/>
    </row>
    <row r="365" spans="1:8">
      <c r="A365" s="1" t="s">
        <v>176</v>
      </c>
      <c r="B365" s="1" t="s">
        <v>658</v>
      </c>
      <c r="C365" s="1" t="s">
        <v>362</v>
      </c>
      <c r="D365" s="142" t="s">
        <v>572</v>
      </c>
      <c r="E365" s="143"/>
      <c r="F365" s="1" t="s">
        <v>637</v>
      </c>
      <c r="G365" s="5">
        <v>4</v>
      </c>
      <c r="H365" s="5">
        <v>0</v>
      </c>
    </row>
    <row r="366" spans="1:8">
      <c r="A366" s="1" t="s">
        <v>177</v>
      </c>
      <c r="B366" s="1" t="s">
        <v>658</v>
      </c>
      <c r="C366" s="1" t="s">
        <v>363</v>
      </c>
      <c r="D366" s="142" t="s">
        <v>573</v>
      </c>
      <c r="E366" s="143"/>
      <c r="F366" s="1" t="s">
        <v>635</v>
      </c>
      <c r="G366" s="5">
        <v>26.62</v>
      </c>
      <c r="H366" s="5">
        <v>0</v>
      </c>
    </row>
    <row r="367" spans="1:8" ht="12.2" customHeight="1">
      <c r="A367" s="1"/>
      <c r="B367" s="1"/>
      <c r="C367" s="1"/>
      <c r="D367" s="169" t="s">
        <v>780</v>
      </c>
      <c r="E367" s="170"/>
      <c r="F367" s="169"/>
      <c r="G367" s="35">
        <v>26.62</v>
      </c>
      <c r="H367" s="38"/>
    </row>
    <row r="368" spans="1:8" ht="12.95" customHeight="1">
      <c r="C368" s="31" t="s">
        <v>672</v>
      </c>
      <c r="D368" s="167" t="s">
        <v>781</v>
      </c>
      <c r="E368" s="168"/>
      <c r="F368" s="168"/>
      <c r="G368" s="168"/>
    </row>
    <row r="369" spans="1:8">
      <c r="A369" s="1" t="s">
        <v>178</v>
      </c>
      <c r="B369" s="1" t="s">
        <v>658</v>
      </c>
      <c r="C369" s="1" t="s">
        <v>364</v>
      </c>
      <c r="D369" s="142" t="s">
        <v>574</v>
      </c>
      <c r="E369" s="143"/>
      <c r="F369" s="1" t="s">
        <v>643</v>
      </c>
      <c r="G369" s="5">
        <v>558.35090000000002</v>
      </c>
      <c r="H369" s="5">
        <v>0</v>
      </c>
    </row>
    <row r="370" spans="1:8">
      <c r="A370" s="28"/>
      <c r="B370" s="28"/>
      <c r="C370" s="28" t="s">
        <v>365</v>
      </c>
      <c r="D370" s="171" t="s">
        <v>575</v>
      </c>
      <c r="E370" s="172"/>
      <c r="F370" s="28"/>
      <c r="G370" s="34"/>
      <c r="H370" s="34"/>
    </row>
    <row r="371" spans="1:8">
      <c r="A371" s="1" t="s">
        <v>179</v>
      </c>
      <c r="B371" s="1" t="s">
        <v>658</v>
      </c>
      <c r="C371" s="1" t="s">
        <v>366</v>
      </c>
      <c r="D371" s="142" t="s">
        <v>576</v>
      </c>
      <c r="E371" s="143"/>
      <c r="F371" s="1" t="s">
        <v>636</v>
      </c>
      <c r="G371" s="5">
        <v>43.892000000000003</v>
      </c>
      <c r="H371" s="5">
        <v>0</v>
      </c>
    </row>
    <row r="372" spans="1:8" ht="38.450000000000003" customHeight="1">
      <c r="C372" s="31" t="s">
        <v>672</v>
      </c>
      <c r="D372" s="167" t="s">
        <v>782</v>
      </c>
      <c r="E372" s="168"/>
      <c r="F372" s="168"/>
      <c r="G372" s="168"/>
    </row>
    <row r="373" spans="1:8">
      <c r="A373" s="2" t="s">
        <v>180</v>
      </c>
      <c r="B373" s="2" t="s">
        <v>658</v>
      </c>
      <c r="C373" s="2" t="s">
        <v>367</v>
      </c>
      <c r="D373" s="155" t="s">
        <v>577</v>
      </c>
      <c r="E373" s="156"/>
      <c r="F373" s="2" t="s">
        <v>638</v>
      </c>
      <c r="G373" s="6">
        <v>1.20703</v>
      </c>
      <c r="H373" s="6">
        <v>0</v>
      </c>
    </row>
    <row r="374" spans="1:8" ht="12.2" customHeight="1">
      <c r="A374" s="2"/>
      <c r="B374" s="2"/>
      <c r="C374" s="2"/>
      <c r="D374" s="173" t="s">
        <v>783</v>
      </c>
      <c r="E374" s="174"/>
      <c r="F374" s="173"/>
      <c r="G374" s="36">
        <v>1.20703</v>
      </c>
      <c r="H374" s="39"/>
    </row>
    <row r="375" spans="1:8">
      <c r="A375" s="1" t="s">
        <v>181</v>
      </c>
      <c r="B375" s="1" t="s">
        <v>658</v>
      </c>
      <c r="C375" s="1" t="s">
        <v>368</v>
      </c>
      <c r="D375" s="142" t="s">
        <v>578</v>
      </c>
      <c r="E375" s="143"/>
      <c r="F375" s="1" t="s">
        <v>636</v>
      </c>
      <c r="G375" s="5">
        <v>43.892000000000003</v>
      </c>
      <c r="H375" s="5">
        <v>0</v>
      </c>
    </row>
    <row r="376" spans="1:8" ht="12.95" customHeight="1">
      <c r="C376" s="31" t="s">
        <v>672</v>
      </c>
      <c r="D376" s="167" t="s">
        <v>784</v>
      </c>
      <c r="E376" s="168"/>
      <c r="F376" s="168"/>
      <c r="G376" s="168"/>
    </row>
    <row r="377" spans="1:8">
      <c r="A377" s="1" t="s">
        <v>182</v>
      </c>
      <c r="B377" s="1" t="s">
        <v>658</v>
      </c>
      <c r="C377" s="1" t="s">
        <v>369</v>
      </c>
      <c r="D377" s="142" t="s">
        <v>579</v>
      </c>
      <c r="E377" s="143"/>
      <c r="F377" s="1" t="s">
        <v>636</v>
      </c>
      <c r="G377" s="5">
        <v>43.892000000000003</v>
      </c>
      <c r="H377" s="5">
        <v>0</v>
      </c>
    </row>
    <row r="378" spans="1:8" ht="12.95" customHeight="1">
      <c r="C378" s="31" t="s">
        <v>672</v>
      </c>
      <c r="D378" s="167" t="s">
        <v>785</v>
      </c>
      <c r="E378" s="168"/>
      <c r="F378" s="168"/>
      <c r="G378" s="168"/>
    </row>
    <row r="379" spans="1:8">
      <c r="A379" s="1" t="s">
        <v>183</v>
      </c>
      <c r="B379" s="1" t="s">
        <v>658</v>
      </c>
      <c r="C379" s="1" t="s">
        <v>370</v>
      </c>
      <c r="D379" s="142" t="s">
        <v>581</v>
      </c>
      <c r="E379" s="143"/>
      <c r="F379" s="1" t="s">
        <v>643</v>
      </c>
      <c r="G379" s="5">
        <v>578.03129999999999</v>
      </c>
      <c r="H379" s="5">
        <v>0</v>
      </c>
    </row>
    <row r="380" spans="1:8">
      <c r="A380" s="28"/>
      <c r="B380" s="28"/>
      <c r="C380" s="28" t="s">
        <v>371</v>
      </c>
      <c r="D380" s="171" t="s">
        <v>582</v>
      </c>
      <c r="E380" s="172"/>
      <c r="F380" s="28"/>
      <c r="G380" s="34"/>
      <c r="H380" s="34"/>
    </row>
    <row r="381" spans="1:8">
      <c r="A381" s="1" t="s">
        <v>184</v>
      </c>
      <c r="B381" s="1" t="s">
        <v>658</v>
      </c>
      <c r="C381" s="1" t="s">
        <v>372</v>
      </c>
      <c r="D381" s="142" t="s">
        <v>583</v>
      </c>
      <c r="E381" s="143"/>
      <c r="F381" s="1" t="s">
        <v>634</v>
      </c>
      <c r="G381" s="5">
        <v>8</v>
      </c>
      <c r="H381" s="5">
        <v>0</v>
      </c>
    </row>
    <row r="382" spans="1:8" ht="12.95" customHeight="1">
      <c r="C382" s="30" t="s">
        <v>660</v>
      </c>
      <c r="D382" s="175" t="s">
        <v>786</v>
      </c>
      <c r="E382" s="176"/>
      <c r="F382" s="176"/>
      <c r="G382" s="176"/>
    </row>
    <row r="383" spans="1:8">
      <c r="A383" s="1" t="s">
        <v>185</v>
      </c>
      <c r="B383" s="1" t="s">
        <v>658</v>
      </c>
      <c r="C383" s="1" t="s">
        <v>373</v>
      </c>
      <c r="D383" s="142" t="s">
        <v>584</v>
      </c>
      <c r="E383" s="143"/>
      <c r="F383" s="1" t="s">
        <v>634</v>
      </c>
      <c r="G383" s="5">
        <v>2</v>
      </c>
      <c r="H383" s="5">
        <v>0</v>
      </c>
    </row>
    <row r="384" spans="1:8" ht="12.95" customHeight="1">
      <c r="C384" s="30" t="s">
        <v>660</v>
      </c>
      <c r="D384" s="175" t="s">
        <v>787</v>
      </c>
      <c r="E384" s="176"/>
      <c r="F384" s="176"/>
      <c r="G384" s="176"/>
    </row>
    <row r="385" spans="1:8">
      <c r="A385" s="1" t="s">
        <v>186</v>
      </c>
      <c r="B385" s="1" t="s">
        <v>658</v>
      </c>
      <c r="C385" s="1" t="s">
        <v>374</v>
      </c>
      <c r="D385" s="142" t="s">
        <v>585</v>
      </c>
      <c r="E385" s="143"/>
      <c r="F385" s="1" t="s">
        <v>634</v>
      </c>
      <c r="G385" s="5">
        <v>7</v>
      </c>
      <c r="H385" s="5">
        <v>0</v>
      </c>
    </row>
    <row r="386" spans="1:8" ht="12.95" customHeight="1">
      <c r="C386" s="30" t="s">
        <v>660</v>
      </c>
      <c r="D386" s="175" t="s">
        <v>788</v>
      </c>
      <c r="E386" s="176"/>
      <c r="F386" s="176"/>
      <c r="G386" s="176"/>
    </row>
    <row r="387" spans="1:8">
      <c r="A387" s="1" t="s">
        <v>187</v>
      </c>
      <c r="B387" s="1" t="s">
        <v>658</v>
      </c>
      <c r="C387" s="1" t="s">
        <v>375</v>
      </c>
      <c r="D387" s="142" t="s">
        <v>586</v>
      </c>
      <c r="E387" s="143"/>
      <c r="F387" s="1" t="s">
        <v>634</v>
      </c>
      <c r="G387" s="5">
        <v>2</v>
      </c>
      <c r="H387" s="5">
        <v>0</v>
      </c>
    </row>
    <row r="388" spans="1:8">
      <c r="A388" s="1" t="s">
        <v>188</v>
      </c>
      <c r="B388" s="1" t="s">
        <v>658</v>
      </c>
      <c r="C388" s="1" t="s">
        <v>376</v>
      </c>
      <c r="D388" s="142" t="s">
        <v>587</v>
      </c>
      <c r="E388" s="143"/>
      <c r="F388" s="1" t="s">
        <v>637</v>
      </c>
      <c r="G388" s="5">
        <v>1</v>
      </c>
      <c r="H388" s="5">
        <v>0</v>
      </c>
    </row>
    <row r="389" spans="1:8">
      <c r="A389" s="1" t="s">
        <v>189</v>
      </c>
      <c r="B389" s="1" t="s">
        <v>658</v>
      </c>
      <c r="C389" s="1" t="s">
        <v>377</v>
      </c>
      <c r="D389" s="142" t="s">
        <v>588</v>
      </c>
      <c r="E389" s="143"/>
      <c r="F389" s="1" t="s">
        <v>635</v>
      </c>
      <c r="G389" s="5">
        <v>30.44</v>
      </c>
      <c r="H389" s="5">
        <v>0</v>
      </c>
    </row>
    <row r="390" spans="1:8" ht="12.2" customHeight="1">
      <c r="A390" s="1"/>
      <c r="B390" s="1"/>
      <c r="C390" s="1"/>
      <c r="D390" s="169" t="s">
        <v>789</v>
      </c>
      <c r="E390" s="170"/>
      <c r="F390" s="169"/>
      <c r="G390" s="35">
        <v>30.44</v>
      </c>
      <c r="H390" s="38"/>
    </row>
    <row r="391" spans="1:8">
      <c r="A391" s="1" t="s">
        <v>190</v>
      </c>
      <c r="B391" s="1" t="s">
        <v>658</v>
      </c>
      <c r="C391" s="1" t="s">
        <v>378</v>
      </c>
      <c r="D391" s="142" t="s">
        <v>589</v>
      </c>
      <c r="E391" s="143"/>
      <c r="F391" s="1" t="s">
        <v>640</v>
      </c>
      <c r="G391" s="5">
        <v>112.95</v>
      </c>
      <c r="H391" s="5">
        <v>0</v>
      </c>
    </row>
    <row r="392" spans="1:8" ht="12.2" customHeight="1">
      <c r="A392" s="1"/>
      <c r="B392" s="1"/>
      <c r="C392" s="1"/>
      <c r="D392" s="169" t="s">
        <v>790</v>
      </c>
      <c r="E392" s="170"/>
      <c r="F392" s="169"/>
      <c r="G392" s="35">
        <v>112.95</v>
      </c>
      <c r="H392" s="38"/>
    </row>
    <row r="393" spans="1:8">
      <c r="A393" s="2" t="s">
        <v>191</v>
      </c>
      <c r="B393" s="2" t="s">
        <v>658</v>
      </c>
      <c r="C393" s="2" t="s">
        <v>379</v>
      </c>
      <c r="D393" s="155" t="s">
        <v>590</v>
      </c>
      <c r="E393" s="156"/>
      <c r="F393" s="2" t="s">
        <v>639</v>
      </c>
      <c r="G393" s="6">
        <v>0.11294999999999999</v>
      </c>
      <c r="H393" s="6">
        <v>0</v>
      </c>
    </row>
    <row r="394" spans="1:8" ht="12.2" customHeight="1">
      <c r="A394" s="2"/>
      <c r="B394" s="2"/>
      <c r="C394" s="2"/>
      <c r="D394" s="173" t="s">
        <v>791</v>
      </c>
      <c r="E394" s="174"/>
      <c r="F394" s="173"/>
      <c r="G394" s="36">
        <v>0.11294999999999999</v>
      </c>
      <c r="H394" s="39"/>
    </row>
    <row r="395" spans="1:8" ht="12.95" customHeight="1">
      <c r="C395" s="31" t="s">
        <v>672</v>
      </c>
      <c r="D395" s="167" t="s">
        <v>792</v>
      </c>
      <c r="E395" s="168"/>
      <c r="F395" s="168"/>
      <c r="G395" s="168"/>
    </row>
    <row r="396" spans="1:8">
      <c r="A396" s="1" t="s">
        <v>192</v>
      </c>
      <c r="B396" s="1" t="s">
        <v>658</v>
      </c>
      <c r="C396" s="1" t="s">
        <v>380</v>
      </c>
      <c r="D396" s="142" t="s">
        <v>591</v>
      </c>
      <c r="E396" s="143"/>
      <c r="F396" s="1" t="s">
        <v>640</v>
      </c>
      <c r="G396" s="5">
        <v>62.406999999999996</v>
      </c>
      <c r="H396" s="5">
        <v>0</v>
      </c>
    </row>
    <row r="397" spans="1:8" ht="12.2" customHeight="1">
      <c r="A397" s="1"/>
      <c r="B397" s="1"/>
      <c r="C397" s="1"/>
      <c r="D397" s="169" t="s">
        <v>793</v>
      </c>
      <c r="E397" s="170"/>
      <c r="F397" s="169"/>
      <c r="G397" s="35">
        <v>42.6</v>
      </c>
      <c r="H397" s="38"/>
    </row>
    <row r="398" spans="1:8" ht="12.2" customHeight="1">
      <c r="A398" s="1"/>
      <c r="B398" s="1"/>
      <c r="C398" s="1"/>
      <c r="D398" s="169" t="s">
        <v>794</v>
      </c>
      <c r="E398" s="170"/>
      <c r="F398" s="169"/>
      <c r="G398" s="35">
        <v>19.806999999999999</v>
      </c>
      <c r="H398" s="38"/>
    </row>
    <row r="399" spans="1:8">
      <c r="A399" s="2" t="s">
        <v>193</v>
      </c>
      <c r="B399" s="2" t="s">
        <v>658</v>
      </c>
      <c r="C399" s="2" t="s">
        <v>381</v>
      </c>
      <c r="D399" s="155" t="s">
        <v>592</v>
      </c>
      <c r="E399" s="156"/>
      <c r="F399" s="2" t="s">
        <v>639</v>
      </c>
      <c r="G399" s="6">
        <v>6.8650000000000003E-2</v>
      </c>
      <c r="H399" s="6">
        <v>0</v>
      </c>
    </row>
    <row r="400" spans="1:8" ht="12.2" customHeight="1">
      <c r="A400" s="2"/>
      <c r="B400" s="2"/>
      <c r="C400" s="2"/>
      <c r="D400" s="173" t="s">
        <v>795</v>
      </c>
      <c r="E400" s="174"/>
      <c r="F400" s="173"/>
      <c r="G400" s="36">
        <v>4.6859999999999999E-2</v>
      </c>
      <c r="H400" s="39"/>
    </row>
    <row r="401" spans="1:8" ht="12.2" customHeight="1">
      <c r="A401" s="2"/>
      <c r="B401" s="2"/>
      <c r="C401" s="2"/>
      <c r="D401" s="173" t="s">
        <v>796</v>
      </c>
      <c r="E401" s="174"/>
      <c r="F401" s="173"/>
      <c r="G401" s="36">
        <v>2.179E-2</v>
      </c>
      <c r="H401" s="39"/>
    </row>
    <row r="402" spans="1:8" ht="25.7" customHeight="1">
      <c r="C402" s="31" t="s">
        <v>672</v>
      </c>
      <c r="D402" s="167" t="s">
        <v>797</v>
      </c>
      <c r="E402" s="168"/>
      <c r="F402" s="168"/>
      <c r="G402" s="168"/>
    </row>
    <row r="403" spans="1:8">
      <c r="A403" s="1" t="s">
        <v>194</v>
      </c>
      <c r="B403" s="1" t="s">
        <v>658</v>
      </c>
      <c r="C403" s="1" t="s">
        <v>382</v>
      </c>
      <c r="D403" s="142" t="s">
        <v>593</v>
      </c>
      <c r="E403" s="143"/>
      <c r="F403" s="1" t="s">
        <v>640</v>
      </c>
      <c r="G403" s="5">
        <v>85.747</v>
      </c>
      <c r="H403" s="5">
        <v>0</v>
      </c>
    </row>
    <row r="404" spans="1:8" ht="12.2" customHeight="1">
      <c r="A404" s="1"/>
      <c r="B404" s="1"/>
      <c r="C404" s="1"/>
      <c r="D404" s="169" t="s">
        <v>798</v>
      </c>
      <c r="E404" s="170"/>
      <c r="F404" s="169"/>
      <c r="G404" s="35">
        <v>85.747</v>
      </c>
      <c r="H404" s="38"/>
    </row>
    <row r="405" spans="1:8">
      <c r="A405" s="2" t="s">
        <v>195</v>
      </c>
      <c r="B405" s="2" t="s">
        <v>658</v>
      </c>
      <c r="C405" s="2" t="s">
        <v>383</v>
      </c>
      <c r="D405" s="155" t="s">
        <v>594</v>
      </c>
      <c r="E405" s="156"/>
      <c r="F405" s="2" t="s">
        <v>639</v>
      </c>
      <c r="G405" s="6">
        <v>9.4320000000000001E-2</v>
      </c>
      <c r="H405" s="6">
        <v>0</v>
      </c>
    </row>
    <row r="406" spans="1:8" ht="12.2" customHeight="1">
      <c r="A406" s="2"/>
      <c r="B406" s="2"/>
      <c r="C406" s="2"/>
      <c r="D406" s="173" t="s">
        <v>799</v>
      </c>
      <c r="E406" s="174"/>
      <c r="F406" s="173"/>
      <c r="G406" s="36">
        <v>9.4320000000000001E-2</v>
      </c>
      <c r="H406" s="39"/>
    </row>
    <row r="407" spans="1:8" ht="25.7" customHeight="1">
      <c r="C407" s="31" t="s">
        <v>672</v>
      </c>
      <c r="D407" s="167" t="s">
        <v>800</v>
      </c>
      <c r="E407" s="168"/>
      <c r="F407" s="168"/>
      <c r="G407" s="168"/>
    </row>
    <row r="408" spans="1:8">
      <c r="A408" s="1" t="s">
        <v>196</v>
      </c>
      <c r="B408" s="1" t="s">
        <v>658</v>
      </c>
      <c r="C408" s="1" t="s">
        <v>384</v>
      </c>
      <c r="D408" s="142" t="s">
        <v>595</v>
      </c>
      <c r="E408" s="143"/>
      <c r="F408" s="1" t="s">
        <v>640</v>
      </c>
      <c r="G408" s="5">
        <v>354.94400000000002</v>
      </c>
      <c r="H408" s="5">
        <v>0</v>
      </c>
    </row>
    <row r="409" spans="1:8" ht="12.2" customHeight="1">
      <c r="A409" s="1"/>
      <c r="B409" s="1"/>
      <c r="C409" s="1"/>
      <c r="D409" s="169" t="s">
        <v>801</v>
      </c>
      <c r="E409" s="170"/>
      <c r="F409" s="169"/>
      <c r="G409" s="35">
        <v>354.94400000000002</v>
      </c>
      <c r="H409" s="38"/>
    </row>
    <row r="410" spans="1:8">
      <c r="A410" s="1" t="s">
        <v>197</v>
      </c>
      <c r="B410" s="1" t="s">
        <v>658</v>
      </c>
      <c r="C410" s="1" t="s">
        <v>385</v>
      </c>
      <c r="D410" s="142" t="s">
        <v>596</v>
      </c>
      <c r="E410" s="143"/>
      <c r="F410" s="1" t="s">
        <v>640</v>
      </c>
      <c r="G410" s="5">
        <v>789.6</v>
      </c>
      <c r="H410" s="5">
        <v>0</v>
      </c>
    </row>
    <row r="411" spans="1:8" ht="12.2" customHeight="1">
      <c r="A411" s="1"/>
      <c r="B411" s="1"/>
      <c r="C411" s="1"/>
      <c r="D411" s="169" t="s">
        <v>802</v>
      </c>
      <c r="E411" s="170"/>
      <c r="F411" s="169"/>
      <c r="G411" s="35">
        <v>789.6</v>
      </c>
      <c r="H411" s="38"/>
    </row>
    <row r="412" spans="1:8">
      <c r="A412" s="2" t="s">
        <v>198</v>
      </c>
      <c r="B412" s="2" t="s">
        <v>658</v>
      </c>
      <c r="C412" s="2" t="s">
        <v>386</v>
      </c>
      <c r="D412" s="155" t="s">
        <v>597</v>
      </c>
      <c r="E412" s="156"/>
      <c r="F412" s="2" t="s">
        <v>639</v>
      </c>
      <c r="G412" s="6">
        <v>1.2589999999999999</v>
      </c>
      <c r="H412" s="6">
        <v>0</v>
      </c>
    </row>
    <row r="413" spans="1:8" ht="12.2" customHeight="1">
      <c r="A413" s="2"/>
      <c r="B413" s="2"/>
      <c r="C413" s="2"/>
      <c r="D413" s="173" t="s">
        <v>803</v>
      </c>
      <c r="E413" s="174"/>
      <c r="F413" s="173"/>
      <c r="G413" s="36">
        <v>0.86856</v>
      </c>
      <c r="H413" s="39"/>
    </row>
    <row r="414" spans="1:8" ht="12.2" customHeight="1">
      <c r="A414" s="2"/>
      <c r="B414" s="2"/>
      <c r="C414" s="2"/>
      <c r="D414" s="173" t="s">
        <v>804</v>
      </c>
      <c r="E414" s="174"/>
      <c r="F414" s="173"/>
      <c r="G414" s="36">
        <v>0.39044000000000001</v>
      </c>
      <c r="H414" s="39"/>
    </row>
    <row r="415" spans="1:8" ht="25.7" customHeight="1">
      <c r="C415" s="31" t="s">
        <v>672</v>
      </c>
      <c r="D415" s="167" t="s">
        <v>805</v>
      </c>
      <c r="E415" s="168"/>
      <c r="F415" s="168"/>
      <c r="G415" s="168"/>
    </row>
    <row r="416" spans="1:8">
      <c r="A416" s="1" t="s">
        <v>199</v>
      </c>
      <c r="B416" s="1" t="s">
        <v>658</v>
      </c>
      <c r="C416" s="1" t="s">
        <v>387</v>
      </c>
      <c r="D416" s="142" t="s">
        <v>598</v>
      </c>
      <c r="E416" s="143"/>
      <c r="F416" s="1" t="s">
        <v>643</v>
      </c>
      <c r="G416" s="5">
        <v>2272.7516000000001</v>
      </c>
      <c r="H416" s="5">
        <v>0</v>
      </c>
    </row>
    <row r="417" spans="1:8">
      <c r="A417" s="28"/>
      <c r="B417" s="28"/>
      <c r="C417" s="28" t="s">
        <v>388</v>
      </c>
      <c r="D417" s="171" t="s">
        <v>599</v>
      </c>
      <c r="E417" s="172"/>
      <c r="F417" s="28"/>
      <c r="G417" s="34"/>
      <c r="H417" s="34"/>
    </row>
    <row r="418" spans="1:8">
      <c r="A418" s="1" t="s">
        <v>200</v>
      </c>
      <c r="B418" s="1" t="s">
        <v>658</v>
      </c>
      <c r="C418" s="1" t="s">
        <v>389</v>
      </c>
      <c r="D418" s="142" t="s">
        <v>600</v>
      </c>
      <c r="E418" s="143"/>
      <c r="F418" s="1" t="s">
        <v>636</v>
      </c>
      <c r="G418" s="5">
        <v>153.9956</v>
      </c>
      <c r="H418" s="5">
        <v>0</v>
      </c>
    </row>
    <row r="419" spans="1:8" ht="12.2" customHeight="1">
      <c r="A419" s="1"/>
      <c r="B419" s="1"/>
      <c r="C419" s="1"/>
      <c r="D419" s="169" t="s">
        <v>773</v>
      </c>
      <c r="E419" s="170"/>
      <c r="F419" s="169"/>
      <c r="G419" s="35">
        <v>52.097999999999999</v>
      </c>
      <c r="H419" s="38"/>
    </row>
    <row r="420" spans="1:8" ht="12.2" customHeight="1">
      <c r="A420" s="1"/>
      <c r="B420" s="1"/>
      <c r="C420" s="1"/>
      <c r="D420" s="169" t="s">
        <v>774</v>
      </c>
      <c r="E420" s="170"/>
      <c r="F420" s="169"/>
      <c r="G420" s="35">
        <v>27.1296</v>
      </c>
      <c r="H420" s="38"/>
    </row>
    <row r="421" spans="1:8" ht="12.2" customHeight="1">
      <c r="A421" s="1"/>
      <c r="B421" s="1"/>
      <c r="C421" s="1"/>
      <c r="D421" s="169" t="s">
        <v>775</v>
      </c>
      <c r="E421" s="170"/>
      <c r="F421" s="169"/>
      <c r="G421" s="35">
        <v>15.84</v>
      </c>
      <c r="H421" s="38"/>
    </row>
    <row r="422" spans="1:8" ht="12.2" customHeight="1">
      <c r="A422" s="1"/>
      <c r="B422" s="1"/>
      <c r="C422" s="1"/>
      <c r="D422" s="169" t="s">
        <v>776</v>
      </c>
      <c r="E422" s="170"/>
      <c r="F422" s="169"/>
      <c r="G422" s="35">
        <v>26.928000000000001</v>
      </c>
      <c r="H422" s="38"/>
    </row>
    <row r="423" spans="1:8" ht="12.2" customHeight="1">
      <c r="A423" s="1"/>
      <c r="B423" s="1"/>
      <c r="C423" s="1"/>
      <c r="D423" s="169" t="s">
        <v>777</v>
      </c>
      <c r="E423" s="170"/>
      <c r="F423" s="169"/>
      <c r="G423" s="35">
        <v>32</v>
      </c>
      <c r="H423" s="38"/>
    </row>
    <row r="424" spans="1:8" ht="25.7" customHeight="1">
      <c r="C424" s="31" t="s">
        <v>672</v>
      </c>
      <c r="D424" s="167" t="s">
        <v>806</v>
      </c>
      <c r="E424" s="168"/>
      <c r="F424" s="168"/>
      <c r="G424" s="168"/>
    </row>
    <row r="425" spans="1:8">
      <c r="A425" s="1" t="s">
        <v>201</v>
      </c>
      <c r="B425" s="1" t="s">
        <v>658</v>
      </c>
      <c r="C425" s="1" t="s">
        <v>390</v>
      </c>
      <c r="D425" s="142" t="s">
        <v>601</v>
      </c>
      <c r="E425" s="143"/>
      <c r="F425" s="1" t="s">
        <v>636</v>
      </c>
      <c r="G425" s="5">
        <v>24.638400000000001</v>
      </c>
      <c r="H425" s="5">
        <v>0</v>
      </c>
    </row>
    <row r="426" spans="1:8" ht="12.2" customHeight="1">
      <c r="A426" s="1"/>
      <c r="B426" s="1"/>
      <c r="C426" s="1"/>
      <c r="D426" s="169" t="s">
        <v>807</v>
      </c>
      <c r="E426" s="170"/>
      <c r="F426" s="169"/>
      <c r="G426" s="35">
        <v>1.08</v>
      </c>
      <c r="H426" s="38"/>
    </row>
    <row r="427" spans="1:8" ht="12.2" customHeight="1">
      <c r="A427" s="1"/>
      <c r="B427" s="1"/>
      <c r="C427" s="1"/>
      <c r="D427" s="169" t="s">
        <v>808</v>
      </c>
      <c r="E427" s="170"/>
      <c r="F427" s="169"/>
      <c r="G427" s="35">
        <v>19.4816</v>
      </c>
      <c r="H427" s="38"/>
    </row>
    <row r="428" spans="1:8" ht="12.2" customHeight="1">
      <c r="A428" s="1"/>
      <c r="B428" s="1"/>
      <c r="C428" s="1"/>
      <c r="D428" s="169" t="s">
        <v>809</v>
      </c>
      <c r="E428" s="170"/>
      <c r="F428" s="169"/>
      <c r="G428" s="35">
        <v>3.5728</v>
      </c>
      <c r="H428" s="38"/>
    </row>
    <row r="429" spans="1:8" ht="12.2" customHeight="1">
      <c r="A429" s="1"/>
      <c r="B429" s="1"/>
      <c r="C429" s="1"/>
      <c r="D429" s="169" t="s">
        <v>810</v>
      </c>
      <c r="E429" s="170"/>
      <c r="F429" s="169"/>
      <c r="G429" s="35">
        <v>0.504</v>
      </c>
      <c r="H429" s="38"/>
    </row>
    <row r="430" spans="1:8">
      <c r="A430" s="28"/>
      <c r="B430" s="28"/>
      <c r="C430" s="28" t="s">
        <v>95</v>
      </c>
      <c r="D430" s="171" t="s">
        <v>603</v>
      </c>
      <c r="E430" s="172"/>
      <c r="F430" s="28"/>
      <c r="G430" s="34"/>
      <c r="H430" s="34"/>
    </row>
    <row r="431" spans="1:8">
      <c r="A431" s="1" t="s">
        <v>202</v>
      </c>
      <c r="B431" s="1" t="s">
        <v>658</v>
      </c>
      <c r="C431" s="1" t="s">
        <v>391</v>
      </c>
      <c r="D431" s="142" t="s">
        <v>604</v>
      </c>
      <c r="E431" s="143"/>
      <c r="F431" s="1" t="s">
        <v>637</v>
      </c>
      <c r="G431" s="5">
        <v>5</v>
      </c>
      <c r="H431" s="5">
        <v>0</v>
      </c>
    </row>
    <row r="432" spans="1:8">
      <c r="A432" s="1" t="s">
        <v>203</v>
      </c>
      <c r="B432" s="1" t="s">
        <v>658</v>
      </c>
      <c r="C432" s="1" t="s">
        <v>392</v>
      </c>
      <c r="D432" s="142" t="s">
        <v>605</v>
      </c>
      <c r="E432" s="143"/>
      <c r="F432" s="1" t="s">
        <v>637</v>
      </c>
      <c r="G432" s="5">
        <v>1</v>
      </c>
      <c r="H432" s="5">
        <v>0</v>
      </c>
    </row>
    <row r="433" spans="1:8">
      <c r="A433" s="1" t="s">
        <v>204</v>
      </c>
      <c r="B433" s="1" t="s">
        <v>658</v>
      </c>
      <c r="C433" s="1" t="s">
        <v>393</v>
      </c>
      <c r="D433" s="142" t="s">
        <v>606</v>
      </c>
      <c r="E433" s="143"/>
      <c r="F433" s="1" t="s">
        <v>637</v>
      </c>
      <c r="G433" s="5">
        <v>1</v>
      </c>
      <c r="H433" s="5">
        <v>0</v>
      </c>
    </row>
    <row r="434" spans="1:8" ht="25.7" customHeight="1">
      <c r="C434" s="31" t="s">
        <v>672</v>
      </c>
      <c r="D434" s="167" t="s">
        <v>811</v>
      </c>
      <c r="E434" s="168"/>
      <c r="F434" s="168"/>
      <c r="G434" s="168"/>
    </row>
    <row r="435" spans="1:8">
      <c r="A435" s="28"/>
      <c r="B435" s="28"/>
      <c r="C435" s="28" t="s">
        <v>97</v>
      </c>
      <c r="D435" s="171" t="s">
        <v>607</v>
      </c>
      <c r="E435" s="172"/>
      <c r="F435" s="28"/>
      <c r="G435" s="34"/>
      <c r="H435" s="34"/>
    </row>
    <row r="436" spans="1:8">
      <c r="A436" s="1" t="s">
        <v>205</v>
      </c>
      <c r="B436" s="1" t="s">
        <v>659</v>
      </c>
      <c r="C436" s="1" t="s">
        <v>394</v>
      </c>
      <c r="D436" s="142" t="s">
        <v>608</v>
      </c>
      <c r="E436" s="143"/>
      <c r="F436" s="1" t="s">
        <v>635</v>
      </c>
      <c r="G436" s="5">
        <v>75.5</v>
      </c>
      <c r="H436" s="5">
        <v>0</v>
      </c>
    </row>
    <row r="437" spans="1:8">
      <c r="A437" s="1" t="s">
        <v>206</v>
      </c>
      <c r="B437" s="1" t="s">
        <v>658</v>
      </c>
      <c r="C437" s="1" t="s">
        <v>394</v>
      </c>
      <c r="D437" s="142" t="s">
        <v>608</v>
      </c>
      <c r="E437" s="143"/>
      <c r="F437" s="1" t="s">
        <v>635</v>
      </c>
      <c r="G437" s="5">
        <v>187.5</v>
      </c>
      <c r="H437" s="5">
        <v>0</v>
      </c>
    </row>
    <row r="438" spans="1:8">
      <c r="A438" s="1" t="s">
        <v>207</v>
      </c>
      <c r="B438" s="1" t="s">
        <v>658</v>
      </c>
      <c r="C438" s="1" t="s">
        <v>395</v>
      </c>
      <c r="D438" s="142" t="s">
        <v>610</v>
      </c>
      <c r="E438" s="143"/>
      <c r="F438" s="1" t="s">
        <v>635</v>
      </c>
      <c r="G438" s="5">
        <v>295.85000000000002</v>
      </c>
      <c r="H438" s="5">
        <v>0</v>
      </c>
    </row>
    <row r="439" spans="1:8" ht="12.2" customHeight="1">
      <c r="A439" s="1"/>
      <c r="B439" s="1"/>
      <c r="C439" s="1"/>
      <c r="D439" s="169" t="s">
        <v>812</v>
      </c>
      <c r="E439" s="170"/>
      <c r="F439" s="169"/>
      <c r="G439" s="35">
        <v>295.85000000000002</v>
      </c>
      <c r="H439" s="38"/>
    </row>
    <row r="440" spans="1:8" ht="12.95" customHeight="1">
      <c r="C440" s="31" t="s">
        <v>672</v>
      </c>
      <c r="D440" s="167" t="s">
        <v>813</v>
      </c>
      <c r="E440" s="168"/>
      <c r="F440" s="168"/>
      <c r="G440" s="168"/>
    </row>
    <row r="441" spans="1:8">
      <c r="A441" s="2" t="s">
        <v>208</v>
      </c>
      <c r="B441" s="2" t="s">
        <v>658</v>
      </c>
      <c r="C441" s="2" t="s">
        <v>396</v>
      </c>
      <c r="D441" s="155" t="s">
        <v>611</v>
      </c>
      <c r="E441" s="156"/>
      <c r="F441" s="2" t="s">
        <v>637</v>
      </c>
      <c r="G441" s="6">
        <v>25</v>
      </c>
      <c r="H441" s="6">
        <v>0</v>
      </c>
    </row>
    <row r="442" spans="1:8" ht="12.2" customHeight="1">
      <c r="A442" s="2"/>
      <c r="B442" s="2"/>
      <c r="C442" s="2"/>
      <c r="D442" s="173" t="s">
        <v>814</v>
      </c>
      <c r="E442" s="174"/>
      <c r="F442" s="173"/>
      <c r="G442" s="36">
        <v>25</v>
      </c>
      <c r="H442" s="39"/>
    </row>
    <row r="443" spans="1:8" ht="38.450000000000003" customHeight="1">
      <c r="C443" s="31" t="s">
        <v>672</v>
      </c>
      <c r="D443" s="167" t="s">
        <v>815</v>
      </c>
      <c r="E443" s="168"/>
      <c r="F443" s="168"/>
      <c r="G443" s="168"/>
    </row>
    <row r="444" spans="1:8">
      <c r="A444" s="28"/>
      <c r="B444" s="28"/>
      <c r="C444" s="28" t="s">
        <v>102</v>
      </c>
      <c r="D444" s="171" t="s">
        <v>612</v>
      </c>
      <c r="E444" s="172"/>
      <c r="F444" s="28"/>
      <c r="G444" s="34"/>
      <c r="H444" s="34"/>
    </row>
    <row r="445" spans="1:8">
      <c r="A445" s="1" t="s">
        <v>209</v>
      </c>
      <c r="B445" s="1" t="s">
        <v>658</v>
      </c>
      <c r="C445" s="1" t="s">
        <v>397</v>
      </c>
      <c r="D445" s="142" t="s">
        <v>613</v>
      </c>
      <c r="E445" s="143"/>
      <c r="F445" s="1" t="s">
        <v>638</v>
      </c>
      <c r="G445" s="5">
        <v>13.9</v>
      </c>
      <c r="H445" s="5">
        <v>0</v>
      </c>
    </row>
    <row r="446" spans="1:8" ht="12.2" customHeight="1">
      <c r="A446" s="1"/>
      <c r="B446" s="1"/>
      <c r="C446" s="1"/>
      <c r="D446" s="169" t="s">
        <v>816</v>
      </c>
      <c r="E446" s="170"/>
      <c r="F446" s="169"/>
      <c r="G446" s="35">
        <v>13.9</v>
      </c>
      <c r="H446" s="38"/>
    </row>
    <row r="447" spans="1:8" ht="38.450000000000003" customHeight="1">
      <c r="C447" s="31" t="s">
        <v>672</v>
      </c>
      <c r="D447" s="167" t="s">
        <v>817</v>
      </c>
      <c r="E447" s="168"/>
      <c r="F447" s="168"/>
      <c r="G447" s="168"/>
    </row>
    <row r="448" spans="1:8">
      <c r="A448" s="28"/>
      <c r="B448" s="28"/>
      <c r="C448" s="28" t="s">
        <v>398</v>
      </c>
      <c r="D448" s="171" t="s">
        <v>615</v>
      </c>
      <c r="E448" s="172"/>
      <c r="F448" s="28"/>
      <c r="G448" s="34"/>
      <c r="H448" s="34"/>
    </row>
    <row r="449" spans="1:8">
      <c r="A449" s="1" t="s">
        <v>210</v>
      </c>
      <c r="B449" s="1" t="s">
        <v>658</v>
      </c>
      <c r="C449" s="1" t="s">
        <v>399</v>
      </c>
      <c r="D449" s="142" t="s">
        <v>616</v>
      </c>
      <c r="E449" s="143"/>
      <c r="F449" s="1" t="s">
        <v>639</v>
      </c>
      <c r="G449" s="5">
        <v>829.50376000000006</v>
      </c>
      <c r="H449" s="5">
        <v>0</v>
      </c>
    </row>
    <row r="450" spans="1:8">
      <c r="A450" s="1" t="s">
        <v>211</v>
      </c>
      <c r="B450" s="1" t="s">
        <v>659</v>
      </c>
      <c r="C450" s="1" t="s">
        <v>399</v>
      </c>
      <c r="D450" s="142" t="s">
        <v>616</v>
      </c>
      <c r="E450" s="143"/>
      <c r="F450" s="1" t="s">
        <v>639</v>
      </c>
      <c r="G450" s="5">
        <v>447.90032000000002</v>
      </c>
      <c r="H450" s="5">
        <v>0</v>
      </c>
    </row>
    <row r="451" spans="1:8">
      <c r="A451" s="28"/>
      <c r="B451" s="28"/>
      <c r="C451" s="28" t="s">
        <v>407</v>
      </c>
      <c r="D451" s="171" t="s">
        <v>626</v>
      </c>
      <c r="E451" s="172"/>
      <c r="F451" s="28"/>
      <c r="G451" s="34"/>
      <c r="H451" s="34"/>
    </row>
    <row r="452" spans="1:8">
      <c r="A452" s="1" t="s">
        <v>212</v>
      </c>
      <c r="B452" s="1" t="s">
        <v>659</v>
      </c>
      <c r="C452" s="1" t="s">
        <v>408</v>
      </c>
      <c r="D452" s="142" t="s">
        <v>627</v>
      </c>
      <c r="E452" s="143"/>
      <c r="F452" s="1" t="s">
        <v>635</v>
      </c>
      <c r="G452" s="5">
        <v>5.0999999999999996</v>
      </c>
      <c r="H452" s="5">
        <v>0</v>
      </c>
    </row>
    <row r="453" spans="1:8">
      <c r="A453" s="28"/>
      <c r="B453" s="28"/>
      <c r="C453" s="28" t="s">
        <v>400</v>
      </c>
      <c r="D453" s="171" t="s">
        <v>617</v>
      </c>
      <c r="E453" s="172"/>
      <c r="F453" s="28"/>
      <c r="G453" s="34"/>
      <c r="H453" s="34"/>
    </row>
    <row r="454" spans="1:8">
      <c r="A454" s="1" t="s">
        <v>213</v>
      </c>
      <c r="B454" s="1" t="s">
        <v>658</v>
      </c>
      <c r="C454" s="1" t="s">
        <v>401</v>
      </c>
      <c r="D454" s="142" t="s">
        <v>618</v>
      </c>
      <c r="E454" s="143"/>
      <c r="F454" s="1" t="s">
        <v>639</v>
      </c>
      <c r="G454" s="5">
        <v>903.87149999999997</v>
      </c>
      <c r="H454" s="5">
        <v>0</v>
      </c>
    </row>
    <row r="455" spans="1:8">
      <c r="A455" s="1" t="s">
        <v>214</v>
      </c>
      <c r="B455" s="1" t="s">
        <v>658</v>
      </c>
      <c r="C455" s="1" t="s">
        <v>402</v>
      </c>
      <c r="D455" s="142" t="s">
        <v>619</v>
      </c>
      <c r="E455" s="143"/>
      <c r="F455" s="1" t="s">
        <v>639</v>
      </c>
      <c r="G455" s="5">
        <v>18077.43</v>
      </c>
      <c r="H455" s="5">
        <v>0</v>
      </c>
    </row>
    <row r="456" spans="1:8" ht="12.2" customHeight="1">
      <c r="A456" s="1"/>
      <c r="B456" s="1"/>
      <c r="C456" s="1"/>
      <c r="D456" s="169" t="s">
        <v>818</v>
      </c>
      <c r="E456" s="170"/>
      <c r="F456" s="169"/>
      <c r="G456" s="35">
        <v>18077.43</v>
      </c>
      <c r="H456" s="38"/>
    </row>
    <row r="457" spans="1:8">
      <c r="A457" s="1" t="s">
        <v>215</v>
      </c>
      <c r="B457" s="1" t="s">
        <v>659</v>
      </c>
      <c r="C457" s="1" t="s">
        <v>401</v>
      </c>
      <c r="D457" s="142" t="s">
        <v>618</v>
      </c>
      <c r="E457" s="143"/>
      <c r="F457" s="1" t="s">
        <v>639</v>
      </c>
      <c r="G457" s="5">
        <v>373.291</v>
      </c>
      <c r="H457" s="5">
        <v>0</v>
      </c>
    </row>
    <row r="458" spans="1:8">
      <c r="A458" s="1" t="s">
        <v>216</v>
      </c>
      <c r="B458" s="1" t="s">
        <v>659</v>
      </c>
      <c r="C458" s="1" t="s">
        <v>402</v>
      </c>
      <c r="D458" s="142" t="s">
        <v>619</v>
      </c>
      <c r="E458" s="143"/>
      <c r="F458" s="1" t="s">
        <v>639</v>
      </c>
      <c r="G458" s="5">
        <v>7465.82</v>
      </c>
      <c r="H458" s="5">
        <v>0</v>
      </c>
    </row>
    <row r="459" spans="1:8" ht="12.2" customHeight="1">
      <c r="A459" s="1"/>
      <c r="B459" s="1"/>
      <c r="C459" s="1"/>
      <c r="D459" s="169" t="s">
        <v>819</v>
      </c>
      <c r="E459" s="170"/>
      <c r="F459" s="169"/>
      <c r="G459" s="35">
        <v>7465.82</v>
      </c>
      <c r="H459" s="38"/>
    </row>
    <row r="460" spans="1:8">
      <c r="A460" s="1" t="s">
        <v>217</v>
      </c>
      <c r="B460" s="1" t="s">
        <v>658</v>
      </c>
      <c r="C460" s="1" t="s">
        <v>403</v>
      </c>
      <c r="D460" s="142" t="s">
        <v>620</v>
      </c>
      <c r="E460" s="143"/>
      <c r="F460" s="1" t="s">
        <v>639</v>
      </c>
      <c r="G460" s="5">
        <v>903.87149999999997</v>
      </c>
      <c r="H460" s="5">
        <v>0</v>
      </c>
    </row>
    <row r="461" spans="1:8" ht="12.95" customHeight="1">
      <c r="C461" s="31" t="s">
        <v>672</v>
      </c>
      <c r="D461" s="167" t="s">
        <v>820</v>
      </c>
      <c r="E461" s="168"/>
      <c r="F461" s="168"/>
      <c r="G461" s="168"/>
    </row>
    <row r="462" spans="1:8">
      <c r="A462" s="1" t="s">
        <v>218</v>
      </c>
      <c r="B462" s="1" t="s">
        <v>658</v>
      </c>
      <c r="C462" s="1" t="s">
        <v>404</v>
      </c>
      <c r="D462" s="142" t="s">
        <v>621</v>
      </c>
      <c r="E462" s="143"/>
      <c r="F462" s="1" t="s">
        <v>639</v>
      </c>
      <c r="G462" s="5">
        <v>903.87149999999997</v>
      </c>
      <c r="H462" s="5">
        <v>0</v>
      </c>
    </row>
    <row r="463" spans="1:8">
      <c r="A463" s="1" t="s">
        <v>219</v>
      </c>
      <c r="B463" s="1" t="s">
        <v>659</v>
      </c>
      <c r="C463" s="1" t="s">
        <v>403</v>
      </c>
      <c r="D463" s="142" t="s">
        <v>620</v>
      </c>
      <c r="E463" s="143"/>
      <c r="F463" s="1" t="s">
        <v>639</v>
      </c>
      <c r="G463" s="5">
        <v>373.291</v>
      </c>
      <c r="H463" s="5">
        <v>0</v>
      </c>
    </row>
    <row r="464" spans="1:8" ht="12.95" customHeight="1">
      <c r="C464" s="31" t="s">
        <v>672</v>
      </c>
      <c r="D464" s="167" t="s">
        <v>820</v>
      </c>
      <c r="E464" s="168"/>
      <c r="F464" s="168"/>
      <c r="G464" s="168"/>
    </row>
    <row r="465" spans="1:8">
      <c r="A465" s="1" t="s">
        <v>220</v>
      </c>
      <c r="B465" s="1" t="s">
        <v>659</v>
      </c>
      <c r="C465" s="1" t="s">
        <v>404</v>
      </c>
      <c r="D465" s="142" t="s">
        <v>621</v>
      </c>
      <c r="E465" s="143"/>
      <c r="F465" s="1" t="s">
        <v>639</v>
      </c>
      <c r="G465" s="5">
        <v>373.291</v>
      </c>
      <c r="H465" s="5">
        <v>0</v>
      </c>
    </row>
    <row r="467" spans="1:8" ht="11.25" customHeight="1">
      <c r="A467" s="16" t="s">
        <v>660</v>
      </c>
    </row>
    <row r="468" spans="1:8" ht="38.450000000000003" customHeight="1">
      <c r="A468" s="81" t="s">
        <v>661</v>
      </c>
      <c r="B468" s="82"/>
      <c r="C468" s="82"/>
      <c r="D468" s="82"/>
      <c r="E468" s="82"/>
      <c r="F468" s="82"/>
      <c r="G468" s="82"/>
    </row>
  </sheetData>
  <mergeCells count="474">
    <mergeCell ref="A6:B7"/>
    <mergeCell ref="C6:D7"/>
    <mergeCell ref="E6:E7"/>
    <mergeCell ref="F6:H7"/>
    <mergeCell ref="A8:B9"/>
    <mergeCell ref="C8:D9"/>
    <mergeCell ref="E8:E9"/>
    <mergeCell ref="F8:H9"/>
    <mergeCell ref="A1:H1"/>
    <mergeCell ref="A2:B3"/>
    <mergeCell ref="C2:D3"/>
    <mergeCell ref="E2:E3"/>
    <mergeCell ref="F2:H3"/>
    <mergeCell ref="A4:B5"/>
    <mergeCell ref="C4:D5"/>
    <mergeCell ref="E4:E5"/>
    <mergeCell ref="F4:H5"/>
    <mergeCell ref="D16:E16"/>
    <mergeCell ref="D17:G17"/>
    <mergeCell ref="D18:E18"/>
    <mergeCell ref="D19:G19"/>
    <mergeCell ref="D20:E20"/>
    <mergeCell ref="D21:G21"/>
    <mergeCell ref="D10:E10"/>
    <mergeCell ref="D11:E11"/>
    <mergeCell ref="D12:E12"/>
    <mergeCell ref="D13:G13"/>
    <mergeCell ref="D14:E14"/>
    <mergeCell ref="D15:E15"/>
    <mergeCell ref="D28:E28"/>
    <mergeCell ref="D29:E29"/>
    <mergeCell ref="D30:G30"/>
    <mergeCell ref="D31:E31"/>
    <mergeCell ref="D32:G32"/>
    <mergeCell ref="D33:E33"/>
    <mergeCell ref="D22:E22"/>
    <mergeCell ref="D23:E23"/>
    <mergeCell ref="D24:E24"/>
    <mergeCell ref="D25:E25"/>
    <mergeCell ref="D26:G26"/>
    <mergeCell ref="D27:E27"/>
    <mergeCell ref="D40:E40"/>
    <mergeCell ref="D41:E41"/>
    <mergeCell ref="D42:E42"/>
    <mergeCell ref="D43:G43"/>
    <mergeCell ref="D44:E44"/>
    <mergeCell ref="D45:E45"/>
    <mergeCell ref="D34:G34"/>
    <mergeCell ref="D35:E35"/>
    <mergeCell ref="D36:E36"/>
    <mergeCell ref="D37:E37"/>
    <mergeCell ref="D38:E38"/>
    <mergeCell ref="D39:E39"/>
    <mergeCell ref="D52:E52"/>
    <mergeCell ref="D53:E53"/>
    <mergeCell ref="D54:E54"/>
    <mergeCell ref="D55:E55"/>
    <mergeCell ref="D56:F56"/>
    <mergeCell ref="D57:F57"/>
    <mergeCell ref="D46:E46"/>
    <mergeCell ref="D47:G47"/>
    <mergeCell ref="D48:E48"/>
    <mergeCell ref="D49:F49"/>
    <mergeCell ref="D50:F50"/>
    <mergeCell ref="D51:G51"/>
    <mergeCell ref="D64:F64"/>
    <mergeCell ref="D65:E65"/>
    <mergeCell ref="D66:G66"/>
    <mergeCell ref="D67:G67"/>
    <mergeCell ref="D68:G68"/>
    <mergeCell ref="D69:G69"/>
    <mergeCell ref="D58:G58"/>
    <mergeCell ref="D59:G59"/>
    <mergeCell ref="D60:G60"/>
    <mergeCell ref="D61:G61"/>
    <mergeCell ref="D62:E62"/>
    <mergeCell ref="D63:F63"/>
    <mergeCell ref="D76:E76"/>
    <mergeCell ref="D77:F77"/>
    <mergeCell ref="D78:F78"/>
    <mergeCell ref="D79:G79"/>
    <mergeCell ref="D80:E80"/>
    <mergeCell ref="D81:G81"/>
    <mergeCell ref="D70:E70"/>
    <mergeCell ref="D71:E71"/>
    <mergeCell ref="D72:G72"/>
    <mergeCell ref="D73:E73"/>
    <mergeCell ref="D74:G74"/>
    <mergeCell ref="D75:E75"/>
    <mergeCell ref="D88:E88"/>
    <mergeCell ref="D89:F89"/>
    <mergeCell ref="D90:E90"/>
    <mergeCell ref="D91:F91"/>
    <mergeCell ref="D92:F92"/>
    <mergeCell ref="D93:E93"/>
    <mergeCell ref="D82:E82"/>
    <mergeCell ref="D83:G83"/>
    <mergeCell ref="D84:E84"/>
    <mergeCell ref="D85:E85"/>
    <mergeCell ref="D86:F86"/>
    <mergeCell ref="D87:F87"/>
    <mergeCell ref="D100:E100"/>
    <mergeCell ref="D101:G101"/>
    <mergeCell ref="D102:E102"/>
    <mergeCell ref="D103:F103"/>
    <mergeCell ref="D104:E104"/>
    <mergeCell ref="D105:E105"/>
    <mergeCell ref="D94:E94"/>
    <mergeCell ref="D95:E95"/>
    <mergeCell ref="D96:E96"/>
    <mergeCell ref="D97:E97"/>
    <mergeCell ref="D98:F98"/>
    <mergeCell ref="D99:E99"/>
    <mergeCell ref="D112:E112"/>
    <mergeCell ref="D113:E113"/>
    <mergeCell ref="D114:F114"/>
    <mergeCell ref="D115:G115"/>
    <mergeCell ref="D116:E116"/>
    <mergeCell ref="D117:E117"/>
    <mergeCell ref="D106:F106"/>
    <mergeCell ref="D107:F107"/>
    <mergeCell ref="D108:F108"/>
    <mergeCell ref="D109:G109"/>
    <mergeCell ref="D110:E110"/>
    <mergeCell ref="D111:F111"/>
    <mergeCell ref="D124:F124"/>
    <mergeCell ref="D125:F125"/>
    <mergeCell ref="D126:F126"/>
    <mergeCell ref="D127:F127"/>
    <mergeCell ref="D128:F128"/>
    <mergeCell ref="D129:E129"/>
    <mergeCell ref="D118:F118"/>
    <mergeCell ref="D119:F119"/>
    <mergeCell ref="D120:G120"/>
    <mergeCell ref="D121:E121"/>
    <mergeCell ref="D122:F122"/>
    <mergeCell ref="D123:F123"/>
    <mergeCell ref="D136:F136"/>
    <mergeCell ref="D137:E137"/>
    <mergeCell ref="D138:F138"/>
    <mergeCell ref="D139:F139"/>
    <mergeCell ref="D140:G140"/>
    <mergeCell ref="D141:E141"/>
    <mergeCell ref="D130:F130"/>
    <mergeCell ref="D131:F131"/>
    <mergeCell ref="D132:F132"/>
    <mergeCell ref="D133:F133"/>
    <mergeCell ref="D134:F134"/>
    <mergeCell ref="D135:F135"/>
    <mergeCell ref="D148:F148"/>
    <mergeCell ref="D149:E149"/>
    <mergeCell ref="D150:G150"/>
    <mergeCell ref="D151:E151"/>
    <mergeCell ref="D152:F152"/>
    <mergeCell ref="D153:G153"/>
    <mergeCell ref="D142:F142"/>
    <mergeCell ref="D143:F143"/>
    <mergeCell ref="D144:F144"/>
    <mergeCell ref="D145:F145"/>
    <mergeCell ref="D146:F146"/>
    <mergeCell ref="D147:F147"/>
    <mergeCell ref="D160:G160"/>
    <mergeCell ref="D161:E161"/>
    <mergeCell ref="D162:F162"/>
    <mergeCell ref="D163:E163"/>
    <mergeCell ref="D164:F164"/>
    <mergeCell ref="D165:F165"/>
    <mergeCell ref="D154:E154"/>
    <mergeCell ref="D155:G155"/>
    <mergeCell ref="D156:E156"/>
    <mergeCell ref="D157:E157"/>
    <mergeCell ref="D158:E158"/>
    <mergeCell ref="D159:F159"/>
    <mergeCell ref="D172:F172"/>
    <mergeCell ref="D173:F173"/>
    <mergeCell ref="D174:F174"/>
    <mergeCell ref="D175:F175"/>
    <mergeCell ref="D176:F176"/>
    <mergeCell ref="D177:E177"/>
    <mergeCell ref="D166:G166"/>
    <mergeCell ref="D167:E167"/>
    <mergeCell ref="D168:F168"/>
    <mergeCell ref="D169:G169"/>
    <mergeCell ref="D170:E170"/>
    <mergeCell ref="D171:F171"/>
    <mergeCell ref="D184:F184"/>
    <mergeCell ref="D185:F185"/>
    <mergeCell ref="D186:F186"/>
    <mergeCell ref="D187:F187"/>
    <mergeCell ref="D188:F188"/>
    <mergeCell ref="D189:E189"/>
    <mergeCell ref="D178:F178"/>
    <mergeCell ref="D179:F179"/>
    <mergeCell ref="D180:F180"/>
    <mergeCell ref="D181:F181"/>
    <mergeCell ref="D182:F182"/>
    <mergeCell ref="D183:E183"/>
    <mergeCell ref="D196:F196"/>
    <mergeCell ref="D197:F197"/>
    <mergeCell ref="D198:F198"/>
    <mergeCell ref="D199:F199"/>
    <mergeCell ref="D200:F200"/>
    <mergeCell ref="D201:E201"/>
    <mergeCell ref="D190:F190"/>
    <mergeCell ref="D191:F191"/>
    <mergeCell ref="D192:F192"/>
    <mergeCell ref="D193:F193"/>
    <mergeCell ref="D194:F194"/>
    <mergeCell ref="D195:E195"/>
    <mergeCell ref="D208:E208"/>
    <mergeCell ref="D209:E209"/>
    <mergeCell ref="D210:E210"/>
    <mergeCell ref="D211:E211"/>
    <mergeCell ref="D212:F212"/>
    <mergeCell ref="D213:F213"/>
    <mergeCell ref="D202:F202"/>
    <mergeCell ref="D203:F203"/>
    <mergeCell ref="D204:F204"/>
    <mergeCell ref="D205:F205"/>
    <mergeCell ref="D206:F206"/>
    <mergeCell ref="D207:E207"/>
    <mergeCell ref="D220:E220"/>
    <mergeCell ref="D221:E221"/>
    <mergeCell ref="D222:E222"/>
    <mergeCell ref="D223:E223"/>
    <mergeCell ref="D224:E224"/>
    <mergeCell ref="D225:E225"/>
    <mergeCell ref="D214:F214"/>
    <mergeCell ref="D215:F215"/>
    <mergeCell ref="D216:F216"/>
    <mergeCell ref="D217:E217"/>
    <mergeCell ref="D218:E218"/>
    <mergeCell ref="D219:E219"/>
    <mergeCell ref="D232:E232"/>
    <mergeCell ref="D233:E233"/>
    <mergeCell ref="D234:E234"/>
    <mergeCell ref="D235:E235"/>
    <mergeCell ref="D236:E236"/>
    <mergeCell ref="D237:E237"/>
    <mergeCell ref="D226:E226"/>
    <mergeCell ref="D227:E227"/>
    <mergeCell ref="D228:E228"/>
    <mergeCell ref="D229:E229"/>
    <mergeCell ref="D230:E230"/>
    <mergeCell ref="D231:E231"/>
    <mergeCell ref="D244:E244"/>
    <mergeCell ref="D245:E245"/>
    <mergeCell ref="D246:E246"/>
    <mergeCell ref="D247:E247"/>
    <mergeCell ref="D248:E248"/>
    <mergeCell ref="D249:E249"/>
    <mergeCell ref="D238:E238"/>
    <mergeCell ref="D239:E239"/>
    <mergeCell ref="D240:E240"/>
    <mergeCell ref="D241:E241"/>
    <mergeCell ref="D242:E242"/>
    <mergeCell ref="D243:E243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F269"/>
    <mergeCell ref="D270:F270"/>
    <mergeCell ref="D271:F271"/>
    <mergeCell ref="D272:F272"/>
    <mergeCell ref="D273:E273"/>
    <mergeCell ref="D262:E262"/>
    <mergeCell ref="D263:E263"/>
    <mergeCell ref="D264:F264"/>
    <mergeCell ref="D265:F265"/>
    <mergeCell ref="D266:F266"/>
    <mergeCell ref="D267:G267"/>
    <mergeCell ref="D280:G280"/>
    <mergeCell ref="D281:E281"/>
    <mergeCell ref="D282:E282"/>
    <mergeCell ref="D283:E283"/>
    <mergeCell ref="D284:E284"/>
    <mergeCell ref="D285:E285"/>
    <mergeCell ref="D274:F274"/>
    <mergeCell ref="D275:F275"/>
    <mergeCell ref="D276:F276"/>
    <mergeCell ref="D277:F277"/>
    <mergeCell ref="D278:E278"/>
    <mergeCell ref="D279:F279"/>
    <mergeCell ref="D292:F292"/>
    <mergeCell ref="D293:E293"/>
    <mergeCell ref="D294:E294"/>
    <mergeCell ref="D295:F295"/>
    <mergeCell ref="D296:E296"/>
    <mergeCell ref="D297:F297"/>
    <mergeCell ref="D286:E286"/>
    <mergeCell ref="D287:E287"/>
    <mergeCell ref="D288:E288"/>
    <mergeCell ref="D289:E289"/>
    <mergeCell ref="D290:F290"/>
    <mergeCell ref="D291:F291"/>
    <mergeCell ref="D304:E304"/>
    <mergeCell ref="D305:E305"/>
    <mergeCell ref="D306:E306"/>
    <mergeCell ref="D307:E307"/>
    <mergeCell ref="D308:E308"/>
    <mergeCell ref="D309:E309"/>
    <mergeCell ref="D298:G298"/>
    <mergeCell ref="D299:E299"/>
    <mergeCell ref="D300:E300"/>
    <mergeCell ref="D301:E301"/>
    <mergeCell ref="D302:E302"/>
    <mergeCell ref="D303:E303"/>
    <mergeCell ref="D316:E316"/>
    <mergeCell ref="D317:F317"/>
    <mergeCell ref="D318:G318"/>
    <mergeCell ref="D319:E319"/>
    <mergeCell ref="D320:E320"/>
    <mergeCell ref="D321:E321"/>
    <mergeCell ref="D310:F310"/>
    <mergeCell ref="D311:G311"/>
    <mergeCell ref="D312:E312"/>
    <mergeCell ref="D313:E313"/>
    <mergeCell ref="D314:F314"/>
    <mergeCell ref="D315:G315"/>
    <mergeCell ref="D328:E328"/>
    <mergeCell ref="D329:E329"/>
    <mergeCell ref="D330:E330"/>
    <mergeCell ref="D331:F331"/>
    <mergeCell ref="D332:G332"/>
    <mergeCell ref="D333:E333"/>
    <mergeCell ref="D322:G322"/>
    <mergeCell ref="D323:G323"/>
    <mergeCell ref="D324:E324"/>
    <mergeCell ref="D325:E325"/>
    <mergeCell ref="D326:G326"/>
    <mergeCell ref="D327:E327"/>
    <mergeCell ref="D340:G340"/>
    <mergeCell ref="D341:E341"/>
    <mergeCell ref="D342:F342"/>
    <mergeCell ref="D343:G343"/>
    <mergeCell ref="D344:E344"/>
    <mergeCell ref="D345:E345"/>
    <mergeCell ref="D334:E334"/>
    <mergeCell ref="D335:E335"/>
    <mergeCell ref="D336:E336"/>
    <mergeCell ref="D337:F337"/>
    <mergeCell ref="D338:G338"/>
    <mergeCell ref="D339:E339"/>
    <mergeCell ref="D352:F352"/>
    <mergeCell ref="D353:F353"/>
    <mergeCell ref="D354:F354"/>
    <mergeCell ref="D355:G355"/>
    <mergeCell ref="D356:E356"/>
    <mergeCell ref="D357:E357"/>
    <mergeCell ref="D346:G346"/>
    <mergeCell ref="D347:E347"/>
    <mergeCell ref="D348:G348"/>
    <mergeCell ref="D349:E349"/>
    <mergeCell ref="D350:F350"/>
    <mergeCell ref="D351:F351"/>
    <mergeCell ref="D364:G364"/>
    <mergeCell ref="D365:E365"/>
    <mergeCell ref="D366:E366"/>
    <mergeCell ref="D367:F367"/>
    <mergeCell ref="D368:G368"/>
    <mergeCell ref="D369:E369"/>
    <mergeCell ref="D358:E358"/>
    <mergeCell ref="D359:E359"/>
    <mergeCell ref="D360:E360"/>
    <mergeCell ref="D361:E361"/>
    <mergeCell ref="D362:E362"/>
    <mergeCell ref="D363:E363"/>
    <mergeCell ref="D376:G376"/>
    <mergeCell ref="D377:E377"/>
    <mergeCell ref="D378:G378"/>
    <mergeCell ref="D379:E379"/>
    <mergeCell ref="D380:E380"/>
    <mergeCell ref="D381:E381"/>
    <mergeCell ref="D370:E370"/>
    <mergeCell ref="D371:E371"/>
    <mergeCell ref="D372:G372"/>
    <mergeCell ref="D373:E373"/>
    <mergeCell ref="D374:F374"/>
    <mergeCell ref="D375:E375"/>
    <mergeCell ref="D388:E388"/>
    <mergeCell ref="D389:E389"/>
    <mergeCell ref="D390:F390"/>
    <mergeCell ref="D391:E391"/>
    <mergeCell ref="D392:F392"/>
    <mergeCell ref="D393:E393"/>
    <mergeCell ref="D382:G382"/>
    <mergeCell ref="D383:E383"/>
    <mergeCell ref="D384:G384"/>
    <mergeCell ref="D385:E385"/>
    <mergeCell ref="D386:G386"/>
    <mergeCell ref="D387:E387"/>
    <mergeCell ref="D400:F400"/>
    <mergeCell ref="D401:F401"/>
    <mergeCell ref="D402:G402"/>
    <mergeCell ref="D403:E403"/>
    <mergeCell ref="D404:F404"/>
    <mergeCell ref="D405:E405"/>
    <mergeCell ref="D394:F394"/>
    <mergeCell ref="D395:G395"/>
    <mergeCell ref="D396:E396"/>
    <mergeCell ref="D397:F397"/>
    <mergeCell ref="D398:F398"/>
    <mergeCell ref="D399:E399"/>
    <mergeCell ref="D412:E412"/>
    <mergeCell ref="D413:F413"/>
    <mergeCell ref="D414:F414"/>
    <mergeCell ref="D415:G415"/>
    <mergeCell ref="D416:E416"/>
    <mergeCell ref="D417:E417"/>
    <mergeCell ref="D406:F406"/>
    <mergeCell ref="D407:G407"/>
    <mergeCell ref="D408:E408"/>
    <mergeCell ref="D409:F409"/>
    <mergeCell ref="D410:E410"/>
    <mergeCell ref="D411:F411"/>
    <mergeCell ref="D424:G424"/>
    <mergeCell ref="D425:E425"/>
    <mergeCell ref="D426:F426"/>
    <mergeCell ref="D427:F427"/>
    <mergeCell ref="D428:F428"/>
    <mergeCell ref="D429:F429"/>
    <mergeCell ref="D418:E418"/>
    <mergeCell ref="D419:F419"/>
    <mergeCell ref="D420:F420"/>
    <mergeCell ref="D421:F421"/>
    <mergeCell ref="D422:F422"/>
    <mergeCell ref="D423:F423"/>
    <mergeCell ref="D436:E436"/>
    <mergeCell ref="D437:E437"/>
    <mergeCell ref="D438:E438"/>
    <mergeCell ref="D439:F439"/>
    <mergeCell ref="D440:G440"/>
    <mergeCell ref="D441:E441"/>
    <mergeCell ref="D430:E430"/>
    <mergeCell ref="D431:E431"/>
    <mergeCell ref="D432:E432"/>
    <mergeCell ref="D433:E433"/>
    <mergeCell ref="D434:G434"/>
    <mergeCell ref="D435:E435"/>
    <mergeCell ref="D448:E448"/>
    <mergeCell ref="D449:E449"/>
    <mergeCell ref="D450:E450"/>
    <mergeCell ref="D451:E451"/>
    <mergeCell ref="D452:E452"/>
    <mergeCell ref="D453:E453"/>
    <mergeCell ref="D442:F442"/>
    <mergeCell ref="D443:G443"/>
    <mergeCell ref="D444:E444"/>
    <mergeCell ref="D445:E445"/>
    <mergeCell ref="D446:F446"/>
    <mergeCell ref="D447:G447"/>
    <mergeCell ref="A468:G468"/>
    <mergeCell ref="D460:E460"/>
    <mergeCell ref="D461:G461"/>
    <mergeCell ref="D462:E462"/>
    <mergeCell ref="D463:E463"/>
    <mergeCell ref="D464:G464"/>
    <mergeCell ref="D465:E465"/>
    <mergeCell ref="D454:E454"/>
    <mergeCell ref="D455:E455"/>
    <mergeCell ref="D456:F456"/>
    <mergeCell ref="D457:E457"/>
    <mergeCell ref="D458:E458"/>
    <mergeCell ref="D459:F459"/>
  </mergeCells>
  <pageMargins left="0.39400000000000002" right="0.39400000000000002" top="0.59099999999999997" bottom="0.59099999999999997" header="0.5" footer="0.5"/>
  <pageSetup paperSize="9" scale="48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362"/>
  <sheetViews>
    <sheetView workbookViewId="0">
      <pane ySplit="11" topLeftCell="A12" activePane="bottomLeft" state="frozenSplit"/>
      <selection pane="bottomLeft" sqref="A1:M1"/>
    </sheetView>
  </sheetViews>
  <sheetFormatPr defaultColWidth="11.5703125" defaultRowHeight="12.75"/>
  <cols>
    <col min="1" max="1" width="3.7109375" customWidth="1"/>
    <col min="2" max="2" width="7.5703125" customWidth="1"/>
    <col min="3" max="3" width="14.28515625" customWidth="1"/>
    <col min="4" max="4" width="76.7109375" customWidth="1"/>
    <col min="5" max="5" width="6.425781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25" max="62" width="12.140625" hidden="1" customWidth="1"/>
  </cols>
  <sheetData>
    <row r="1" spans="1:62" ht="72.95" customHeight="1">
      <c r="A1" s="135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62">
      <c r="A2" s="113" t="s">
        <v>1</v>
      </c>
      <c r="B2" s="114"/>
      <c r="C2" s="114"/>
      <c r="D2" s="115" t="s">
        <v>867</v>
      </c>
      <c r="E2" s="166" t="s">
        <v>629</v>
      </c>
      <c r="F2" s="114"/>
      <c r="G2" s="166" t="s">
        <v>6</v>
      </c>
      <c r="H2" s="118" t="s">
        <v>647</v>
      </c>
      <c r="I2" s="118" t="s">
        <v>868</v>
      </c>
      <c r="J2" s="114"/>
      <c r="K2" s="114"/>
      <c r="L2" s="114"/>
      <c r="M2" s="136"/>
      <c r="N2" s="7"/>
    </row>
    <row r="3" spans="1:62">
      <c r="A3" s="108"/>
      <c r="B3" s="82"/>
      <c r="C3" s="82"/>
      <c r="D3" s="117"/>
      <c r="E3" s="82"/>
      <c r="F3" s="82"/>
      <c r="G3" s="82"/>
      <c r="H3" s="82"/>
      <c r="I3" s="82"/>
      <c r="J3" s="82"/>
      <c r="K3" s="82"/>
      <c r="L3" s="82"/>
      <c r="M3" s="110"/>
      <c r="N3" s="7"/>
    </row>
    <row r="4" spans="1:62">
      <c r="A4" s="102" t="s">
        <v>2</v>
      </c>
      <c r="B4" s="82"/>
      <c r="C4" s="82"/>
      <c r="D4" s="81" t="s">
        <v>6</v>
      </c>
      <c r="E4" s="105" t="s">
        <v>630</v>
      </c>
      <c r="F4" s="82"/>
      <c r="G4" s="105" t="s">
        <v>6</v>
      </c>
      <c r="H4" s="81" t="s">
        <v>648</v>
      </c>
      <c r="I4" s="81" t="s">
        <v>877</v>
      </c>
      <c r="J4" s="82"/>
      <c r="K4" s="82"/>
      <c r="L4" s="82"/>
      <c r="M4" s="110"/>
      <c r="N4" s="7"/>
    </row>
    <row r="5" spans="1:62">
      <c r="A5" s="108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110"/>
      <c r="N5" s="7"/>
    </row>
    <row r="6" spans="1:62">
      <c r="A6" s="102" t="s">
        <v>3</v>
      </c>
      <c r="B6" s="82"/>
      <c r="C6" s="82"/>
      <c r="D6" s="81" t="s">
        <v>868</v>
      </c>
      <c r="E6" s="105" t="s">
        <v>631</v>
      </c>
      <c r="F6" s="82"/>
      <c r="G6" s="105" t="s">
        <v>6</v>
      </c>
      <c r="H6" s="81" t="s">
        <v>649</v>
      </c>
      <c r="I6" s="105" t="s">
        <v>878</v>
      </c>
      <c r="J6" s="82"/>
      <c r="K6" s="82"/>
      <c r="L6" s="82"/>
      <c r="M6" s="110"/>
      <c r="N6" s="7"/>
    </row>
    <row r="7" spans="1:62">
      <c r="A7" s="108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110"/>
      <c r="N7" s="7"/>
    </row>
    <row r="8" spans="1:62">
      <c r="A8" s="102" t="s">
        <v>4</v>
      </c>
      <c r="B8" s="82"/>
      <c r="C8" s="82"/>
      <c r="D8" s="81" t="s">
        <v>6</v>
      </c>
      <c r="E8" s="105" t="s">
        <v>632</v>
      </c>
      <c r="F8" s="82"/>
      <c r="G8" s="105" t="s">
        <v>874</v>
      </c>
      <c r="H8" s="81" t="s">
        <v>650</v>
      </c>
      <c r="I8" s="81" t="s">
        <v>879</v>
      </c>
      <c r="J8" s="82"/>
      <c r="K8" s="82"/>
      <c r="L8" s="82"/>
      <c r="M8" s="110"/>
      <c r="N8" s="7"/>
    </row>
    <row r="9" spans="1:62">
      <c r="A9" s="132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4"/>
      <c r="N9" s="7"/>
    </row>
    <row r="10" spans="1:62">
      <c r="A10" s="56" t="s">
        <v>5</v>
      </c>
      <c r="B10" s="62" t="s">
        <v>657</v>
      </c>
      <c r="C10" s="62" t="s">
        <v>223</v>
      </c>
      <c r="D10" s="62" t="s">
        <v>409</v>
      </c>
      <c r="E10" s="62" t="s">
        <v>633</v>
      </c>
      <c r="F10" s="68" t="s">
        <v>644</v>
      </c>
      <c r="G10" s="69" t="s">
        <v>875</v>
      </c>
      <c r="H10" s="123" t="s">
        <v>663</v>
      </c>
      <c r="I10" s="124"/>
      <c r="J10" s="125"/>
      <c r="K10" s="123" t="s">
        <v>667</v>
      </c>
      <c r="L10" s="125"/>
      <c r="M10" s="74" t="s">
        <v>881</v>
      </c>
      <c r="N10" s="21"/>
    </row>
    <row r="11" spans="1:62">
      <c r="A11" s="57" t="s">
        <v>6</v>
      </c>
      <c r="B11" s="63" t="s">
        <v>6</v>
      </c>
      <c r="C11" s="63" t="s">
        <v>6</v>
      </c>
      <c r="D11" s="12" t="s">
        <v>869</v>
      </c>
      <c r="E11" s="63" t="s">
        <v>6</v>
      </c>
      <c r="F11" s="63" t="s">
        <v>6</v>
      </c>
      <c r="G11" s="70" t="s">
        <v>876</v>
      </c>
      <c r="H11" s="17" t="s">
        <v>664</v>
      </c>
      <c r="I11" s="18" t="s">
        <v>665</v>
      </c>
      <c r="J11" s="20" t="s">
        <v>666</v>
      </c>
      <c r="K11" s="17" t="s">
        <v>880</v>
      </c>
      <c r="L11" s="20" t="s">
        <v>666</v>
      </c>
      <c r="M11" s="75" t="s">
        <v>882</v>
      </c>
      <c r="N11" s="21"/>
      <c r="Z11" s="34" t="s">
        <v>883</v>
      </c>
      <c r="AA11" s="34" t="s">
        <v>884</v>
      </c>
      <c r="AB11" s="34" t="s">
        <v>885</v>
      </c>
      <c r="AC11" s="34" t="s">
        <v>886</v>
      </c>
      <c r="AD11" s="34" t="s">
        <v>887</v>
      </c>
      <c r="AE11" s="34" t="s">
        <v>888</v>
      </c>
      <c r="AF11" s="34" t="s">
        <v>889</v>
      </c>
      <c r="AG11" s="34" t="s">
        <v>890</v>
      </c>
      <c r="AH11" s="34" t="s">
        <v>891</v>
      </c>
      <c r="BH11" s="34" t="s">
        <v>936</v>
      </c>
      <c r="BI11" s="34" t="s">
        <v>937</v>
      </c>
      <c r="BJ11" s="34" t="s">
        <v>938</v>
      </c>
    </row>
    <row r="12" spans="1:62">
      <c r="A12" s="58"/>
      <c r="B12" s="64" t="s">
        <v>658</v>
      </c>
      <c r="C12" s="64"/>
      <c r="D12" s="64" t="s">
        <v>410</v>
      </c>
      <c r="E12" s="58" t="s">
        <v>6</v>
      </c>
      <c r="F12" s="58" t="s">
        <v>6</v>
      </c>
      <c r="G12" s="58" t="s">
        <v>6</v>
      </c>
      <c r="H12" s="78">
        <f>H13+H28+H37+H46+H51+H58+H64+H67+H136+H143+H145+H147+H158+H165+H180+H183+H190+H207+H219+H229+H253+H258+H263+H270+H274+H276</f>
        <v>1289753.0077028852</v>
      </c>
      <c r="I12" s="78">
        <f>I13+I28+I37+I46+I51+I58+I64+I67+I136+I143+I145+I147+I158+I165+I180+I183+I190+I207+I219+I229+I253+I258+I263+I270+I274+I276</f>
        <v>2691654.1714716149</v>
      </c>
      <c r="J12" s="78">
        <f>J13+J28+J37+J46+J51+J58+J64+J67+J136+J143+J145+J147+J158+J165+J180+J183+J190+J207+J219+J229+J253+J258+J263+J270+J274+J276</f>
        <v>3981407.1791745005</v>
      </c>
      <c r="K12" s="71"/>
      <c r="L12" s="78">
        <f>L13+L28+L37+L46+L51+L58+L64+L67+L136+L143+L145+L147+L158+L165+L180+L183+L190+L207+L219+L229+L253+L258+L263+L270+L274+L276</f>
        <v>2110.6276726540004</v>
      </c>
      <c r="M12" s="71"/>
    </row>
    <row r="13" spans="1:62">
      <c r="A13" s="59"/>
      <c r="B13" s="28" t="s">
        <v>658</v>
      </c>
      <c r="C13" s="28" t="s">
        <v>224</v>
      </c>
      <c r="D13" s="28" t="s">
        <v>411</v>
      </c>
      <c r="E13" s="59" t="s">
        <v>6</v>
      </c>
      <c r="F13" s="59" t="s">
        <v>6</v>
      </c>
      <c r="G13" s="59" t="s">
        <v>6</v>
      </c>
      <c r="H13" s="8">
        <f>SUM(H14:H27)</f>
        <v>0</v>
      </c>
      <c r="I13" s="8">
        <f>SUM(I14:I27)</f>
        <v>185500</v>
      </c>
      <c r="J13" s="8">
        <f>SUM(J14:J27)</f>
        <v>185500</v>
      </c>
      <c r="K13" s="34"/>
      <c r="L13" s="8">
        <f>SUM(L14:L27)</f>
        <v>0</v>
      </c>
      <c r="M13" s="34"/>
      <c r="AI13" s="34" t="s">
        <v>658</v>
      </c>
      <c r="AS13" s="8">
        <f>SUM(AJ14:AJ27)</f>
        <v>0</v>
      </c>
      <c r="AT13" s="8">
        <f>SUM(AK14:AK27)</f>
        <v>0</v>
      </c>
      <c r="AU13" s="8">
        <f>SUM(AL14:AL27)</f>
        <v>185500</v>
      </c>
    </row>
    <row r="14" spans="1:62">
      <c r="A14" s="1" t="s">
        <v>7</v>
      </c>
      <c r="B14" s="1" t="s">
        <v>658</v>
      </c>
      <c r="C14" s="1" t="s">
        <v>225</v>
      </c>
      <c r="D14" s="1" t="s">
        <v>412</v>
      </c>
      <c r="E14" s="1" t="s">
        <v>634</v>
      </c>
      <c r="F14" s="5">
        <f>'Rozpočet - vybrané sloupce'!AN13</f>
        <v>1</v>
      </c>
      <c r="G14" s="5">
        <f>'Rozpočet - vybrané sloupce'!AS13</f>
        <v>10000</v>
      </c>
      <c r="H14" s="5">
        <f>F14*AO14</f>
        <v>0</v>
      </c>
      <c r="I14" s="5">
        <f>F14*AP14</f>
        <v>10000</v>
      </c>
      <c r="J14" s="5">
        <f>F14*G14</f>
        <v>10000</v>
      </c>
      <c r="K14" s="5">
        <v>0</v>
      </c>
      <c r="L14" s="5">
        <f>F14*K14</f>
        <v>0</v>
      </c>
      <c r="M14" s="38"/>
      <c r="Z14" s="22">
        <f>IF(AQ14="5",BJ14,0)</f>
        <v>0</v>
      </c>
      <c r="AB14" s="22">
        <f>IF(AQ14="1",BH14,0)</f>
        <v>0</v>
      </c>
      <c r="AC14" s="22">
        <f>IF(AQ14="1",BI14,0)</f>
        <v>10000</v>
      </c>
      <c r="AD14" s="22">
        <f>IF(AQ14="7",BH14,0)</f>
        <v>0</v>
      </c>
      <c r="AE14" s="22">
        <f>IF(AQ14="7",BI14,0)</f>
        <v>0</v>
      </c>
      <c r="AF14" s="22">
        <f>IF(AQ14="2",BH14,0)</f>
        <v>0</v>
      </c>
      <c r="AG14" s="22">
        <f>IF(AQ14="2",BI14,0)</f>
        <v>0</v>
      </c>
      <c r="AH14" s="22">
        <f>IF(AQ14="0",BJ14,0)</f>
        <v>0</v>
      </c>
      <c r="AI14" s="34" t="s">
        <v>658</v>
      </c>
      <c r="AJ14" s="5">
        <f>IF(AN14=0,J14,0)</f>
        <v>0</v>
      </c>
      <c r="AK14" s="5">
        <f>IF(AN14=15,J14,0)</f>
        <v>0</v>
      </c>
      <c r="AL14" s="5">
        <f>IF(AN14=21,J14,0)</f>
        <v>10000</v>
      </c>
      <c r="AN14" s="22">
        <v>21</v>
      </c>
      <c r="AO14" s="22">
        <f>G14*0</f>
        <v>0</v>
      </c>
      <c r="AP14" s="22">
        <f>G14*(1-0)</f>
        <v>10000</v>
      </c>
      <c r="AQ14" s="38" t="s">
        <v>7</v>
      </c>
      <c r="AV14" s="22">
        <f>AW14+AX14</f>
        <v>10000</v>
      </c>
      <c r="AW14" s="22">
        <f>F14*AO14</f>
        <v>0</v>
      </c>
      <c r="AX14" s="22">
        <f>F14*AP14</f>
        <v>10000</v>
      </c>
      <c r="AY14" s="77" t="s">
        <v>892</v>
      </c>
      <c r="AZ14" s="77" t="s">
        <v>919</v>
      </c>
      <c r="BA14" s="34" t="s">
        <v>934</v>
      </c>
      <c r="BC14" s="22">
        <f>AW14+AX14</f>
        <v>10000</v>
      </c>
      <c r="BD14" s="22">
        <f>G14/(100-BE14)*100</f>
        <v>10000</v>
      </c>
      <c r="BE14" s="22">
        <v>0</v>
      </c>
      <c r="BF14" s="22">
        <f>L14</f>
        <v>0</v>
      </c>
      <c r="BH14" s="5">
        <f>F14*AO14</f>
        <v>0</v>
      </c>
      <c r="BI14" s="5">
        <f>F14*AP14</f>
        <v>10000</v>
      </c>
      <c r="BJ14" s="5">
        <f>F14*G14</f>
        <v>10000</v>
      </c>
    </row>
    <row r="15" spans="1:62" ht="38.450000000000003" customHeight="1">
      <c r="C15" s="66" t="s">
        <v>660</v>
      </c>
      <c r="D15" s="175" t="s">
        <v>673</v>
      </c>
      <c r="E15" s="176"/>
      <c r="F15" s="176"/>
      <c r="G15" s="176"/>
      <c r="H15" s="176"/>
      <c r="I15" s="176"/>
      <c r="J15" s="176"/>
      <c r="K15" s="176"/>
      <c r="L15" s="176"/>
      <c r="M15" s="176"/>
    </row>
    <row r="16" spans="1:62">
      <c r="A16" s="1" t="s">
        <v>8</v>
      </c>
      <c r="B16" s="1" t="s">
        <v>658</v>
      </c>
      <c r="C16" s="1" t="s">
        <v>226</v>
      </c>
      <c r="D16" s="1" t="s">
        <v>413</v>
      </c>
      <c r="E16" s="1" t="s">
        <v>634</v>
      </c>
      <c r="F16" s="5">
        <f>'Rozpočet - vybrané sloupce'!AN14</f>
        <v>1</v>
      </c>
      <c r="G16" s="5">
        <f>'Rozpočet - vybrané sloupce'!AS14</f>
        <v>15000</v>
      </c>
      <c r="H16" s="5">
        <f>F16*AO16</f>
        <v>0</v>
      </c>
      <c r="I16" s="5">
        <f>F16*AP16</f>
        <v>15000</v>
      </c>
      <c r="J16" s="5">
        <f>F16*G16</f>
        <v>15000</v>
      </c>
      <c r="K16" s="5">
        <v>0</v>
      </c>
      <c r="L16" s="5">
        <f>F16*K16</f>
        <v>0</v>
      </c>
      <c r="M16" s="38"/>
      <c r="Z16" s="22">
        <f>IF(AQ16="5",BJ16,0)</f>
        <v>0</v>
      </c>
      <c r="AB16" s="22">
        <f>IF(AQ16="1",BH16,0)</f>
        <v>0</v>
      </c>
      <c r="AC16" s="22">
        <f>IF(AQ16="1",BI16,0)</f>
        <v>15000</v>
      </c>
      <c r="AD16" s="22">
        <f>IF(AQ16="7",BH16,0)</f>
        <v>0</v>
      </c>
      <c r="AE16" s="22">
        <f>IF(AQ16="7",BI16,0)</f>
        <v>0</v>
      </c>
      <c r="AF16" s="22">
        <f>IF(AQ16="2",BH16,0)</f>
        <v>0</v>
      </c>
      <c r="AG16" s="22">
        <f>IF(AQ16="2",BI16,0)</f>
        <v>0</v>
      </c>
      <c r="AH16" s="22">
        <f>IF(AQ16="0",BJ16,0)</f>
        <v>0</v>
      </c>
      <c r="AI16" s="34" t="s">
        <v>658</v>
      </c>
      <c r="AJ16" s="5">
        <f>IF(AN16=0,J16,0)</f>
        <v>0</v>
      </c>
      <c r="AK16" s="5">
        <f>IF(AN16=15,J16,0)</f>
        <v>0</v>
      </c>
      <c r="AL16" s="5">
        <f>IF(AN16=21,J16,0)</f>
        <v>15000</v>
      </c>
      <c r="AN16" s="22">
        <v>21</v>
      </c>
      <c r="AO16" s="22">
        <f>G16*0</f>
        <v>0</v>
      </c>
      <c r="AP16" s="22">
        <f>G16*(1-0)</f>
        <v>15000</v>
      </c>
      <c r="AQ16" s="38" t="s">
        <v>7</v>
      </c>
      <c r="AV16" s="22">
        <f>AW16+AX16</f>
        <v>15000</v>
      </c>
      <c r="AW16" s="22">
        <f>F16*AO16</f>
        <v>0</v>
      </c>
      <c r="AX16" s="22">
        <f>F16*AP16</f>
        <v>15000</v>
      </c>
      <c r="AY16" s="77" t="s">
        <v>892</v>
      </c>
      <c r="AZ16" s="77" t="s">
        <v>919</v>
      </c>
      <c r="BA16" s="34" t="s">
        <v>934</v>
      </c>
      <c r="BC16" s="22">
        <f>AW16+AX16</f>
        <v>15000</v>
      </c>
      <c r="BD16" s="22">
        <f>G16/(100-BE16)*100</f>
        <v>15000</v>
      </c>
      <c r="BE16" s="22">
        <v>0</v>
      </c>
      <c r="BF16" s="22">
        <f>L16</f>
        <v>0</v>
      </c>
      <c r="BH16" s="5">
        <f>F16*AO16</f>
        <v>0</v>
      </c>
      <c r="BI16" s="5">
        <f>F16*AP16</f>
        <v>15000</v>
      </c>
      <c r="BJ16" s="5">
        <f>F16*G16</f>
        <v>15000</v>
      </c>
    </row>
    <row r="17" spans="1:62">
      <c r="A17" s="1" t="s">
        <v>9</v>
      </c>
      <c r="B17" s="1" t="s">
        <v>658</v>
      </c>
      <c r="C17" s="1" t="s">
        <v>226</v>
      </c>
      <c r="D17" s="1" t="s">
        <v>414</v>
      </c>
      <c r="E17" s="1" t="s">
        <v>634</v>
      </c>
      <c r="F17" s="5">
        <f>'Rozpočet - vybrané sloupce'!AN15</f>
        <v>1</v>
      </c>
      <c r="G17" s="5">
        <f>'Rozpočet - vybrané sloupce'!AS15</f>
        <v>6500</v>
      </c>
      <c r="H17" s="5">
        <f>F17*AO17</f>
        <v>0</v>
      </c>
      <c r="I17" s="5">
        <f>F17*AP17</f>
        <v>6500</v>
      </c>
      <c r="J17" s="5">
        <f>F17*G17</f>
        <v>6500</v>
      </c>
      <c r="K17" s="5">
        <v>0</v>
      </c>
      <c r="L17" s="5">
        <f>F17*K17</f>
        <v>0</v>
      </c>
      <c r="M17" s="38"/>
      <c r="Z17" s="22">
        <f>IF(AQ17="5",BJ17,0)</f>
        <v>0</v>
      </c>
      <c r="AB17" s="22">
        <f>IF(AQ17="1",BH17,0)</f>
        <v>0</v>
      </c>
      <c r="AC17" s="22">
        <f>IF(AQ17="1",BI17,0)</f>
        <v>6500</v>
      </c>
      <c r="AD17" s="22">
        <f>IF(AQ17="7",BH17,0)</f>
        <v>0</v>
      </c>
      <c r="AE17" s="22">
        <f>IF(AQ17="7",BI17,0)</f>
        <v>0</v>
      </c>
      <c r="AF17" s="22">
        <f>IF(AQ17="2",BH17,0)</f>
        <v>0</v>
      </c>
      <c r="AG17" s="22">
        <f>IF(AQ17="2",BI17,0)</f>
        <v>0</v>
      </c>
      <c r="AH17" s="22">
        <f>IF(AQ17="0",BJ17,0)</f>
        <v>0</v>
      </c>
      <c r="AI17" s="34" t="s">
        <v>658</v>
      </c>
      <c r="AJ17" s="5">
        <f>IF(AN17=0,J17,0)</f>
        <v>0</v>
      </c>
      <c r="AK17" s="5">
        <f>IF(AN17=15,J17,0)</f>
        <v>0</v>
      </c>
      <c r="AL17" s="5">
        <f>IF(AN17=21,J17,0)</f>
        <v>6500</v>
      </c>
      <c r="AN17" s="22">
        <v>21</v>
      </c>
      <c r="AO17" s="22">
        <f>G17*0</f>
        <v>0</v>
      </c>
      <c r="AP17" s="22">
        <f>G17*(1-0)</f>
        <v>6500</v>
      </c>
      <c r="AQ17" s="38" t="s">
        <v>7</v>
      </c>
      <c r="AV17" s="22">
        <f>AW17+AX17</f>
        <v>6500</v>
      </c>
      <c r="AW17" s="22">
        <f>F17*AO17</f>
        <v>0</v>
      </c>
      <c r="AX17" s="22">
        <f>F17*AP17</f>
        <v>6500</v>
      </c>
      <c r="AY17" s="77" t="s">
        <v>892</v>
      </c>
      <c r="AZ17" s="77" t="s">
        <v>919</v>
      </c>
      <c r="BA17" s="34" t="s">
        <v>934</v>
      </c>
      <c r="BC17" s="22">
        <f>AW17+AX17</f>
        <v>6500</v>
      </c>
      <c r="BD17" s="22">
        <f>G17/(100-BE17)*100</f>
        <v>6500</v>
      </c>
      <c r="BE17" s="22">
        <v>0</v>
      </c>
      <c r="BF17" s="22">
        <f>L17</f>
        <v>0</v>
      </c>
      <c r="BH17" s="5">
        <f>F17*AO17</f>
        <v>0</v>
      </c>
      <c r="BI17" s="5">
        <f>F17*AP17</f>
        <v>6500</v>
      </c>
      <c r="BJ17" s="5">
        <f>F17*G17</f>
        <v>6500</v>
      </c>
    </row>
    <row r="18" spans="1:62">
      <c r="A18" s="1" t="s">
        <v>10</v>
      </c>
      <c r="B18" s="1" t="s">
        <v>658</v>
      </c>
      <c r="C18" s="1" t="s">
        <v>227</v>
      </c>
      <c r="D18" s="1" t="s">
        <v>415</v>
      </c>
      <c r="E18" s="1" t="s">
        <v>634</v>
      </c>
      <c r="F18" s="5">
        <f>'Rozpočet - vybrané sloupce'!AN16</f>
        <v>1</v>
      </c>
      <c r="G18" s="5">
        <f>'Rozpočet - vybrané sloupce'!AS16</f>
        <v>53000</v>
      </c>
      <c r="H18" s="5">
        <f>F18*AO18</f>
        <v>0</v>
      </c>
      <c r="I18" s="5">
        <f>F18*AP18</f>
        <v>53000</v>
      </c>
      <c r="J18" s="5">
        <f>F18*G18</f>
        <v>53000</v>
      </c>
      <c r="K18" s="5">
        <v>0</v>
      </c>
      <c r="L18" s="5">
        <f>F18*K18</f>
        <v>0</v>
      </c>
      <c r="M18" s="38"/>
      <c r="Z18" s="22">
        <f>IF(AQ18="5",BJ18,0)</f>
        <v>0</v>
      </c>
      <c r="AB18" s="22">
        <f>IF(AQ18="1",BH18,0)</f>
        <v>0</v>
      </c>
      <c r="AC18" s="22">
        <f>IF(AQ18="1",BI18,0)</f>
        <v>53000</v>
      </c>
      <c r="AD18" s="22">
        <f>IF(AQ18="7",BH18,0)</f>
        <v>0</v>
      </c>
      <c r="AE18" s="22">
        <f>IF(AQ18="7",BI18,0)</f>
        <v>0</v>
      </c>
      <c r="AF18" s="22">
        <f>IF(AQ18="2",BH18,0)</f>
        <v>0</v>
      </c>
      <c r="AG18" s="22">
        <f>IF(AQ18="2",BI18,0)</f>
        <v>0</v>
      </c>
      <c r="AH18" s="22">
        <f>IF(AQ18="0",BJ18,0)</f>
        <v>0</v>
      </c>
      <c r="AI18" s="34" t="s">
        <v>658</v>
      </c>
      <c r="AJ18" s="5">
        <f>IF(AN18=0,J18,0)</f>
        <v>0</v>
      </c>
      <c r="AK18" s="5">
        <f>IF(AN18=15,J18,0)</f>
        <v>0</v>
      </c>
      <c r="AL18" s="5">
        <f>IF(AN18=21,J18,0)</f>
        <v>53000</v>
      </c>
      <c r="AN18" s="22">
        <v>21</v>
      </c>
      <c r="AO18" s="22">
        <f>G18*0</f>
        <v>0</v>
      </c>
      <c r="AP18" s="22">
        <f>G18*(1-0)</f>
        <v>53000</v>
      </c>
      <c r="AQ18" s="38" t="s">
        <v>7</v>
      </c>
      <c r="AV18" s="22">
        <f>AW18+AX18</f>
        <v>53000</v>
      </c>
      <c r="AW18" s="22">
        <f>F18*AO18</f>
        <v>0</v>
      </c>
      <c r="AX18" s="22">
        <f>F18*AP18</f>
        <v>53000</v>
      </c>
      <c r="AY18" s="77" t="s">
        <v>892</v>
      </c>
      <c r="AZ18" s="77" t="s">
        <v>919</v>
      </c>
      <c r="BA18" s="34" t="s">
        <v>934</v>
      </c>
      <c r="BC18" s="22">
        <f>AW18+AX18</f>
        <v>53000</v>
      </c>
      <c r="BD18" s="22">
        <f>G18/(100-BE18)*100</f>
        <v>53000</v>
      </c>
      <c r="BE18" s="22">
        <v>0</v>
      </c>
      <c r="BF18" s="22">
        <f>L18</f>
        <v>0</v>
      </c>
      <c r="BH18" s="5">
        <f>F18*AO18</f>
        <v>0</v>
      </c>
      <c r="BI18" s="5">
        <f>F18*AP18</f>
        <v>53000</v>
      </c>
      <c r="BJ18" s="5">
        <f>F18*G18</f>
        <v>53000</v>
      </c>
    </row>
    <row r="19" spans="1:62" ht="115.5" customHeight="1">
      <c r="C19" s="66" t="s">
        <v>660</v>
      </c>
      <c r="D19" s="175" t="s">
        <v>674</v>
      </c>
      <c r="E19" s="176"/>
      <c r="F19" s="176"/>
      <c r="G19" s="176"/>
      <c r="H19" s="176"/>
      <c r="I19" s="176"/>
      <c r="J19" s="176"/>
      <c r="K19" s="176"/>
      <c r="L19" s="176"/>
      <c r="M19" s="176"/>
    </row>
    <row r="20" spans="1:62">
      <c r="A20" s="1" t="s">
        <v>11</v>
      </c>
      <c r="B20" s="1" t="s">
        <v>658</v>
      </c>
      <c r="C20" s="1" t="s">
        <v>228</v>
      </c>
      <c r="D20" s="1" t="s">
        <v>416</v>
      </c>
      <c r="E20" s="1" t="s">
        <v>634</v>
      </c>
      <c r="F20" s="5">
        <f>'Rozpočet - vybrané sloupce'!AN17</f>
        <v>1</v>
      </c>
      <c r="G20" s="5">
        <f>'Rozpočet - vybrané sloupce'!AS17</f>
        <v>24000</v>
      </c>
      <c r="H20" s="5">
        <f>F20*AO20</f>
        <v>0</v>
      </c>
      <c r="I20" s="5">
        <f>F20*AP20</f>
        <v>24000</v>
      </c>
      <c r="J20" s="5">
        <f>F20*G20</f>
        <v>24000</v>
      </c>
      <c r="K20" s="5">
        <v>0</v>
      </c>
      <c r="L20" s="5">
        <f>F20*K20</f>
        <v>0</v>
      </c>
      <c r="M20" s="38"/>
      <c r="Z20" s="22">
        <f>IF(AQ20="5",BJ20,0)</f>
        <v>0</v>
      </c>
      <c r="AB20" s="22">
        <f>IF(AQ20="1",BH20,0)</f>
        <v>0</v>
      </c>
      <c r="AC20" s="22">
        <f>IF(AQ20="1",BI20,0)</f>
        <v>24000</v>
      </c>
      <c r="AD20" s="22">
        <f>IF(AQ20="7",BH20,0)</f>
        <v>0</v>
      </c>
      <c r="AE20" s="22">
        <f>IF(AQ20="7",BI20,0)</f>
        <v>0</v>
      </c>
      <c r="AF20" s="22">
        <f>IF(AQ20="2",BH20,0)</f>
        <v>0</v>
      </c>
      <c r="AG20" s="22">
        <f>IF(AQ20="2",BI20,0)</f>
        <v>0</v>
      </c>
      <c r="AH20" s="22">
        <f>IF(AQ20="0",BJ20,0)</f>
        <v>0</v>
      </c>
      <c r="AI20" s="34" t="s">
        <v>658</v>
      </c>
      <c r="AJ20" s="5">
        <f>IF(AN20=0,J20,0)</f>
        <v>0</v>
      </c>
      <c r="AK20" s="5">
        <f>IF(AN20=15,J20,0)</f>
        <v>0</v>
      </c>
      <c r="AL20" s="5">
        <f>IF(AN20=21,J20,0)</f>
        <v>24000</v>
      </c>
      <c r="AN20" s="22">
        <v>21</v>
      </c>
      <c r="AO20" s="22">
        <f>G20*0</f>
        <v>0</v>
      </c>
      <c r="AP20" s="22">
        <f>G20*(1-0)</f>
        <v>24000</v>
      </c>
      <c r="AQ20" s="38" t="s">
        <v>7</v>
      </c>
      <c r="AV20" s="22">
        <f>AW20+AX20</f>
        <v>24000</v>
      </c>
      <c r="AW20" s="22">
        <f>F20*AO20</f>
        <v>0</v>
      </c>
      <c r="AX20" s="22">
        <f>F20*AP20</f>
        <v>24000</v>
      </c>
      <c r="AY20" s="77" t="s">
        <v>892</v>
      </c>
      <c r="AZ20" s="77" t="s">
        <v>919</v>
      </c>
      <c r="BA20" s="34" t="s">
        <v>934</v>
      </c>
      <c r="BC20" s="22">
        <f>AW20+AX20</f>
        <v>24000</v>
      </c>
      <c r="BD20" s="22">
        <f>G20/(100-BE20)*100</f>
        <v>24000</v>
      </c>
      <c r="BE20" s="22">
        <v>0</v>
      </c>
      <c r="BF20" s="22">
        <f>L20</f>
        <v>0</v>
      </c>
      <c r="BH20" s="5">
        <f>F20*AO20</f>
        <v>0</v>
      </c>
      <c r="BI20" s="5">
        <f>F20*AP20</f>
        <v>24000</v>
      </c>
      <c r="BJ20" s="5">
        <f>F20*G20</f>
        <v>24000</v>
      </c>
    </row>
    <row r="21" spans="1:62" ht="102.6" customHeight="1">
      <c r="C21" s="66" t="s">
        <v>660</v>
      </c>
      <c r="D21" s="175" t="s">
        <v>675</v>
      </c>
      <c r="E21" s="176"/>
      <c r="F21" s="176"/>
      <c r="G21" s="176"/>
      <c r="H21" s="176"/>
      <c r="I21" s="176"/>
      <c r="J21" s="176"/>
      <c r="K21" s="176"/>
      <c r="L21" s="176"/>
      <c r="M21" s="176"/>
    </row>
    <row r="22" spans="1:62">
      <c r="A22" s="1" t="s">
        <v>12</v>
      </c>
      <c r="B22" s="1" t="s">
        <v>658</v>
      </c>
      <c r="C22" s="1" t="s">
        <v>229</v>
      </c>
      <c r="D22" s="1" t="s">
        <v>417</v>
      </c>
      <c r="E22" s="1" t="s">
        <v>634</v>
      </c>
      <c r="F22" s="5">
        <f>'Rozpočet - vybrané sloupce'!AN18</f>
        <v>1</v>
      </c>
      <c r="G22" s="5">
        <f>'Rozpočet - vybrané sloupce'!AS18</f>
        <v>10000</v>
      </c>
      <c r="H22" s="5">
        <f>F22*AO22</f>
        <v>0</v>
      </c>
      <c r="I22" s="5">
        <f>F22*AP22</f>
        <v>10000</v>
      </c>
      <c r="J22" s="5">
        <f>F22*G22</f>
        <v>10000</v>
      </c>
      <c r="K22" s="5">
        <v>0</v>
      </c>
      <c r="L22" s="5">
        <f>F22*K22</f>
        <v>0</v>
      </c>
      <c r="M22" s="38"/>
      <c r="Z22" s="22">
        <f>IF(AQ22="5",BJ22,0)</f>
        <v>0</v>
      </c>
      <c r="AB22" s="22">
        <f>IF(AQ22="1",BH22,0)</f>
        <v>0</v>
      </c>
      <c r="AC22" s="22">
        <f>IF(AQ22="1",BI22,0)</f>
        <v>10000</v>
      </c>
      <c r="AD22" s="22">
        <f>IF(AQ22="7",BH22,0)</f>
        <v>0</v>
      </c>
      <c r="AE22" s="22">
        <f>IF(AQ22="7",BI22,0)</f>
        <v>0</v>
      </c>
      <c r="AF22" s="22">
        <f>IF(AQ22="2",BH22,0)</f>
        <v>0</v>
      </c>
      <c r="AG22" s="22">
        <f>IF(AQ22="2",BI22,0)</f>
        <v>0</v>
      </c>
      <c r="AH22" s="22">
        <f>IF(AQ22="0",BJ22,0)</f>
        <v>0</v>
      </c>
      <c r="AI22" s="34" t="s">
        <v>658</v>
      </c>
      <c r="AJ22" s="5">
        <f>IF(AN22=0,J22,0)</f>
        <v>0</v>
      </c>
      <c r="AK22" s="5">
        <f>IF(AN22=15,J22,0)</f>
        <v>0</v>
      </c>
      <c r="AL22" s="5">
        <f>IF(AN22=21,J22,0)</f>
        <v>10000</v>
      </c>
      <c r="AN22" s="22">
        <v>21</v>
      </c>
      <c r="AO22" s="22">
        <f>G22*0</f>
        <v>0</v>
      </c>
      <c r="AP22" s="22">
        <f>G22*(1-0)</f>
        <v>10000</v>
      </c>
      <c r="AQ22" s="38" t="s">
        <v>7</v>
      </c>
      <c r="AV22" s="22">
        <f>AW22+AX22</f>
        <v>10000</v>
      </c>
      <c r="AW22" s="22">
        <f>F22*AO22</f>
        <v>0</v>
      </c>
      <c r="AX22" s="22">
        <f>F22*AP22</f>
        <v>10000</v>
      </c>
      <c r="AY22" s="77" t="s">
        <v>892</v>
      </c>
      <c r="AZ22" s="77" t="s">
        <v>919</v>
      </c>
      <c r="BA22" s="34" t="s">
        <v>934</v>
      </c>
      <c r="BC22" s="22">
        <f>AW22+AX22</f>
        <v>10000</v>
      </c>
      <c r="BD22" s="22">
        <f>G22/(100-BE22)*100</f>
        <v>10000</v>
      </c>
      <c r="BE22" s="22">
        <v>0</v>
      </c>
      <c r="BF22" s="22">
        <f>L22</f>
        <v>0</v>
      </c>
      <c r="BH22" s="5">
        <f>F22*AO22</f>
        <v>0</v>
      </c>
      <c r="BI22" s="5">
        <f>F22*AP22</f>
        <v>10000</v>
      </c>
      <c r="BJ22" s="5">
        <f>F22*G22</f>
        <v>10000</v>
      </c>
    </row>
    <row r="23" spans="1:62">
      <c r="C23" s="66" t="s">
        <v>660</v>
      </c>
      <c r="D23" s="175" t="s">
        <v>676</v>
      </c>
      <c r="E23" s="176"/>
      <c r="F23" s="176"/>
      <c r="G23" s="176"/>
      <c r="H23" s="176"/>
      <c r="I23" s="176"/>
      <c r="J23" s="176"/>
      <c r="K23" s="176"/>
      <c r="L23" s="176"/>
      <c r="M23" s="176"/>
    </row>
    <row r="24" spans="1:62">
      <c r="A24" s="1" t="s">
        <v>13</v>
      </c>
      <c r="B24" s="1" t="s">
        <v>658</v>
      </c>
      <c r="C24" s="1" t="s">
        <v>230</v>
      </c>
      <c r="D24" s="1" t="s">
        <v>418</v>
      </c>
      <c r="E24" s="1" t="s">
        <v>634</v>
      </c>
      <c r="F24" s="5">
        <f>'Rozpočet - vybrané sloupce'!AN19</f>
        <v>1</v>
      </c>
      <c r="G24" s="5">
        <f>'Rozpočet - vybrané sloupce'!AS19</f>
        <v>20000</v>
      </c>
      <c r="H24" s="5">
        <f>F24*AO24</f>
        <v>0</v>
      </c>
      <c r="I24" s="5">
        <f>F24*AP24</f>
        <v>20000</v>
      </c>
      <c r="J24" s="5">
        <f>F24*G24</f>
        <v>20000</v>
      </c>
      <c r="K24" s="5">
        <v>0</v>
      </c>
      <c r="L24" s="5">
        <f>F24*K24</f>
        <v>0</v>
      </c>
      <c r="M24" s="38"/>
      <c r="Z24" s="22">
        <f>IF(AQ24="5",BJ24,0)</f>
        <v>0</v>
      </c>
      <c r="AB24" s="22">
        <f>IF(AQ24="1",BH24,0)</f>
        <v>0</v>
      </c>
      <c r="AC24" s="22">
        <f>IF(AQ24="1",BI24,0)</f>
        <v>20000</v>
      </c>
      <c r="AD24" s="22">
        <f>IF(AQ24="7",BH24,0)</f>
        <v>0</v>
      </c>
      <c r="AE24" s="22">
        <f>IF(AQ24="7",BI24,0)</f>
        <v>0</v>
      </c>
      <c r="AF24" s="22">
        <f>IF(AQ24="2",BH24,0)</f>
        <v>0</v>
      </c>
      <c r="AG24" s="22">
        <f>IF(AQ24="2",BI24,0)</f>
        <v>0</v>
      </c>
      <c r="AH24" s="22">
        <f>IF(AQ24="0",BJ24,0)</f>
        <v>0</v>
      </c>
      <c r="AI24" s="34" t="s">
        <v>658</v>
      </c>
      <c r="AJ24" s="5">
        <f>IF(AN24=0,J24,0)</f>
        <v>0</v>
      </c>
      <c r="AK24" s="5">
        <f>IF(AN24=15,J24,0)</f>
        <v>0</v>
      </c>
      <c r="AL24" s="5">
        <f>IF(AN24=21,J24,0)</f>
        <v>20000</v>
      </c>
      <c r="AN24" s="22">
        <v>21</v>
      </c>
      <c r="AO24" s="22">
        <f>G24*0</f>
        <v>0</v>
      </c>
      <c r="AP24" s="22">
        <f>G24*(1-0)</f>
        <v>20000</v>
      </c>
      <c r="AQ24" s="38" t="s">
        <v>7</v>
      </c>
      <c r="AV24" s="22">
        <f>AW24+AX24</f>
        <v>20000</v>
      </c>
      <c r="AW24" s="22">
        <f>F24*AO24</f>
        <v>0</v>
      </c>
      <c r="AX24" s="22">
        <f>F24*AP24</f>
        <v>20000</v>
      </c>
      <c r="AY24" s="77" t="s">
        <v>892</v>
      </c>
      <c r="AZ24" s="77" t="s">
        <v>919</v>
      </c>
      <c r="BA24" s="34" t="s">
        <v>934</v>
      </c>
      <c r="BC24" s="22">
        <f>AW24+AX24</f>
        <v>20000</v>
      </c>
      <c r="BD24" s="22">
        <f>G24/(100-BE24)*100</f>
        <v>20000</v>
      </c>
      <c r="BE24" s="22">
        <v>0</v>
      </c>
      <c r="BF24" s="22">
        <f>L24</f>
        <v>0</v>
      </c>
      <c r="BH24" s="5">
        <f>F24*AO24</f>
        <v>0</v>
      </c>
      <c r="BI24" s="5">
        <f>F24*AP24</f>
        <v>20000</v>
      </c>
      <c r="BJ24" s="5">
        <f>F24*G24</f>
        <v>20000</v>
      </c>
    </row>
    <row r="25" spans="1:62">
      <c r="A25" s="1" t="s">
        <v>14</v>
      </c>
      <c r="B25" s="1" t="s">
        <v>658</v>
      </c>
      <c r="C25" s="1" t="s">
        <v>231</v>
      </c>
      <c r="D25" s="1" t="s">
        <v>419</v>
      </c>
      <c r="E25" s="1" t="s">
        <v>634</v>
      </c>
      <c r="F25" s="5">
        <f>'Rozpočet - vybrané sloupce'!AN20</f>
        <v>1</v>
      </c>
      <c r="G25" s="5">
        <f>'Rozpočet - vybrané sloupce'!AS20</f>
        <v>5000</v>
      </c>
      <c r="H25" s="5">
        <f>F25*AO25</f>
        <v>0</v>
      </c>
      <c r="I25" s="5">
        <f>F25*AP25</f>
        <v>5000</v>
      </c>
      <c r="J25" s="5">
        <f>F25*G25</f>
        <v>5000</v>
      </c>
      <c r="K25" s="5">
        <v>0</v>
      </c>
      <c r="L25" s="5">
        <f>F25*K25</f>
        <v>0</v>
      </c>
      <c r="M25" s="38"/>
      <c r="Z25" s="22">
        <f>IF(AQ25="5",BJ25,0)</f>
        <v>0</v>
      </c>
      <c r="AB25" s="22">
        <f>IF(AQ25="1",BH25,0)</f>
        <v>0</v>
      </c>
      <c r="AC25" s="22">
        <f>IF(AQ25="1",BI25,0)</f>
        <v>5000</v>
      </c>
      <c r="AD25" s="22">
        <f>IF(AQ25="7",BH25,0)</f>
        <v>0</v>
      </c>
      <c r="AE25" s="22">
        <f>IF(AQ25="7",BI25,0)</f>
        <v>0</v>
      </c>
      <c r="AF25" s="22">
        <f>IF(AQ25="2",BH25,0)</f>
        <v>0</v>
      </c>
      <c r="AG25" s="22">
        <f>IF(AQ25="2",BI25,0)</f>
        <v>0</v>
      </c>
      <c r="AH25" s="22">
        <f>IF(AQ25="0",BJ25,0)</f>
        <v>0</v>
      </c>
      <c r="AI25" s="34" t="s">
        <v>658</v>
      </c>
      <c r="AJ25" s="5">
        <f>IF(AN25=0,J25,0)</f>
        <v>0</v>
      </c>
      <c r="AK25" s="5">
        <f>IF(AN25=15,J25,0)</f>
        <v>0</v>
      </c>
      <c r="AL25" s="5">
        <f>IF(AN25=21,J25,0)</f>
        <v>5000</v>
      </c>
      <c r="AN25" s="22">
        <v>21</v>
      </c>
      <c r="AO25" s="22">
        <f>G25*0</f>
        <v>0</v>
      </c>
      <c r="AP25" s="22">
        <f>G25*(1-0)</f>
        <v>5000</v>
      </c>
      <c r="AQ25" s="38" t="s">
        <v>7</v>
      </c>
      <c r="AV25" s="22">
        <f>AW25+AX25</f>
        <v>5000</v>
      </c>
      <c r="AW25" s="22">
        <f>F25*AO25</f>
        <v>0</v>
      </c>
      <c r="AX25" s="22">
        <f>F25*AP25</f>
        <v>5000</v>
      </c>
      <c r="AY25" s="77" t="s">
        <v>892</v>
      </c>
      <c r="AZ25" s="77" t="s">
        <v>919</v>
      </c>
      <c r="BA25" s="34" t="s">
        <v>934</v>
      </c>
      <c r="BC25" s="22">
        <f>AW25+AX25</f>
        <v>5000</v>
      </c>
      <c r="BD25" s="22">
        <f>G25/(100-BE25)*100</f>
        <v>5000</v>
      </c>
      <c r="BE25" s="22">
        <v>0</v>
      </c>
      <c r="BF25" s="22">
        <f>L25</f>
        <v>0</v>
      </c>
      <c r="BH25" s="5">
        <f>F25*AO25</f>
        <v>0</v>
      </c>
      <c r="BI25" s="5">
        <f>F25*AP25</f>
        <v>5000</v>
      </c>
      <c r="BJ25" s="5">
        <f>F25*G25</f>
        <v>5000</v>
      </c>
    </row>
    <row r="26" spans="1:62">
      <c r="A26" s="1" t="s">
        <v>15</v>
      </c>
      <c r="B26" s="1" t="s">
        <v>658</v>
      </c>
      <c r="C26" s="1" t="s">
        <v>232</v>
      </c>
      <c r="D26" s="1" t="s">
        <v>420</v>
      </c>
      <c r="E26" s="1" t="s">
        <v>634</v>
      </c>
      <c r="F26" s="5">
        <f>'Rozpočet - vybrané sloupce'!AN21</f>
        <v>1</v>
      </c>
      <c r="G26" s="5">
        <f>'Rozpočet - vybrané sloupce'!AS21</f>
        <v>16000</v>
      </c>
      <c r="H26" s="5">
        <f>F26*AO26</f>
        <v>0</v>
      </c>
      <c r="I26" s="5">
        <f>F26*AP26</f>
        <v>16000</v>
      </c>
      <c r="J26" s="5">
        <f>F26*G26</f>
        <v>16000</v>
      </c>
      <c r="K26" s="5">
        <v>0</v>
      </c>
      <c r="L26" s="5">
        <f>F26*K26</f>
        <v>0</v>
      </c>
      <c r="M26" s="38"/>
      <c r="Z26" s="22">
        <f>IF(AQ26="5",BJ26,0)</f>
        <v>0</v>
      </c>
      <c r="AB26" s="22">
        <f>IF(AQ26="1",BH26,0)</f>
        <v>0</v>
      </c>
      <c r="AC26" s="22">
        <f>IF(AQ26="1",BI26,0)</f>
        <v>16000</v>
      </c>
      <c r="AD26" s="22">
        <f>IF(AQ26="7",BH26,0)</f>
        <v>0</v>
      </c>
      <c r="AE26" s="22">
        <f>IF(AQ26="7",BI26,0)</f>
        <v>0</v>
      </c>
      <c r="AF26" s="22">
        <f>IF(AQ26="2",BH26,0)</f>
        <v>0</v>
      </c>
      <c r="AG26" s="22">
        <f>IF(AQ26="2",BI26,0)</f>
        <v>0</v>
      </c>
      <c r="AH26" s="22">
        <f>IF(AQ26="0",BJ26,0)</f>
        <v>0</v>
      </c>
      <c r="AI26" s="34" t="s">
        <v>658</v>
      </c>
      <c r="AJ26" s="5">
        <f>IF(AN26=0,J26,0)</f>
        <v>0</v>
      </c>
      <c r="AK26" s="5">
        <f>IF(AN26=15,J26,0)</f>
        <v>0</v>
      </c>
      <c r="AL26" s="5">
        <f>IF(AN26=21,J26,0)</f>
        <v>16000</v>
      </c>
      <c r="AN26" s="22">
        <v>21</v>
      </c>
      <c r="AO26" s="22">
        <f>G26*0</f>
        <v>0</v>
      </c>
      <c r="AP26" s="22">
        <f>G26*(1-0)</f>
        <v>16000</v>
      </c>
      <c r="AQ26" s="38" t="s">
        <v>7</v>
      </c>
      <c r="AV26" s="22">
        <f>AW26+AX26</f>
        <v>16000</v>
      </c>
      <c r="AW26" s="22">
        <f>F26*AO26</f>
        <v>0</v>
      </c>
      <c r="AX26" s="22">
        <f>F26*AP26</f>
        <v>16000</v>
      </c>
      <c r="AY26" s="77" t="s">
        <v>892</v>
      </c>
      <c r="AZ26" s="77" t="s">
        <v>919</v>
      </c>
      <c r="BA26" s="34" t="s">
        <v>934</v>
      </c>
      <c r="BC26" s="22">
        <f>AW26+AX26</f>
        <v>16000</v>
      </c>
      <c r="BD26" s="22">
        <f>G26/(100-BE26)*100</f>
        <v>16000</v>
      </c>
      <c r="BE26" s="22">
        <v>0</v>
      </c>
      <c r="BF26" s="22">
        <f>L26</f>
        <v>0</v>
      </c>
      <c r="BH26" s="5">
        <f>F26*AO26</f>
        <v>0</v>
      </c>
      <c r="BI26" s="5">
        <f>F26*AP26</f>
        <v>16000</v>
      </c>
      <c r="BJ26" s="5">
        <f>F26*G26</f>
        <v>16000</v>
      </c>
    </row>
    <row r="27" spans="1:62">
      <c r="A27" s="1" t="s">
        <v>16</v>
      </c>
      <c r="B27" s="1" t="s">
        <v>658</v>
      </c>
      <c r="C27" s="1" t="s">
        <v>233</v>
      </c>
      <c r="D27" s="1" t="s">
        <v>421</v>
      </c>
      <c r="E27" s="1" t="s">
        <v>634</v>
      </c>
      <c r="F27" s="5">
        <f>'Rozpočet - vybrané sloupce'!AN22</f>
        <v>1</v>
      </c>
      <c r="G27" s="5">
        <f>'Rozpočet - vybrané sloupce'!AS22</f>
        <v>26000</v>
      </c>
      <c r="H27" s="5">
        <f>F27*AO27</f>
        <v>0</v>
      </c>
      <c r="I27" s="5">
        <f>F27*AP27</f>
        <v>26000</v>
      </c>
      <c r="J27" s="5">
        <f>F27*G27</f>
        <v>26000</v>
      </c>
      <c r="K27" s="5">
        <v>0</v>
      </c>
      <c r="L27" s="5">
        <f>F27*K27</f>
        <v>0</v>
      </c>
      <c r="M27" s="38"/>
      <c r="Z27" s="22">
        <f>IF(AQ27="5",BJ27,0)</f>
        <v>0</v>
      </c>
      <c r="AB27" s="22">
        <f>IF(AQ27="1",BH27,0)</f>
        <v>0</v>
      </c>
      <c r="AC27" s="22">
        <f>IF(AQ27="1",BI27,0)</f>
        <v>26000</v>
      </c>
      <c r="AD27" s="22">
        <f>IF(AQ27="7",BH27,0)</f>
        <v>0</v>
      </c>
      <c r="AE27" s="22">
        <f>IF(AQ27="7",BI27,0)</f>
        <v>0</v>
      </c>
      <c r="AF27" s="22">
        <f>IF(AQ27="2",BH27,0)</f>
        <v>0</v>
      </c>
      <c r="AG27" s="22">
        <f>IF(AQ27="2",BI27,0)</f>
        <v>0</v>
      </c>
      <c r="AH27" s="22">
        <f>IF(AQ27="0",BJ27,0)</f>
        <v>0</v>
      </c>
      <c r="AI27" s="34" t="s">
        <v>658</v>
      </c>
      <c r="AJ27" s="5">
        <f>IF(AN27=0,J27,0)</f>
        <v>0</v>
      </c>
      <c r="AK27" s="5">
        <f>IF(AN27=15,J27,0)</f>
        <v>0</v>
      </c>
      <c r="AL27" s="5">
        <f>IF(AN27=21,J27,0)</f>
        <v>26000</v>
      </c>
      <c r="AN27" s="22">
        <v>21</v>
      </c>
      <c r="AO27" s="22">
        <f>G27*0</f>
        <v>0</v>
      </c>
      <c r="AP27" s="22">
        <f>G27*(1-0)</f>
        <v>26000</v>
      </c>
      <c r="AQ27" s="38" t="s">
        <v>7</v>
      </c>
      <c r="AV27" s="22">
        <f>AW27+AX27</f>
        <v>26000</v>
      </c>
      <c r="AW27" s="22">
        <f>F27*AO27</f>
        <v>0</v>
      </c>
      <c r="AX27" s="22">
        <f>F27*AP27</f>
        <v>26000</v>
      </c>
      <c r="AY27" s="77" t="s">
        <v>892</v>
      </c>
      <c r="AZ27" s="77" t="s">
        <v>919</v>
      </c>
      <c r="BA27" s="34" t="s">
        <v>934</v>
      </c>
      <c r="BC27" s="22">
        <f>AW27+AX27</f>
        <v>26000</v>
      </c>
      <c r="BD27" s="22">
        <f>G27/(100-BE27)*100</f>
        <v>26000</v>
      </c>
      <c r="BE27" s="22">
        <v>0</v>
      </c>
      <c r="BF27" s="22">
        <f>L27</f>
        <v>0</v>
      </c>
      <c r="BH27" s="5">
        <f>F27*AO27</f>
        <v>0</v>
      </c>
      <c r="BI27" s="5">
        <f>F27*AP27</f>
        <v>26000</v>
      </c>
      <c r="BJ27" s="5">
        <f>F27*G27</f>
        <v>26000</v>
      </c>
    </row>
    <row r="28" spans="1:62">
      <c r="A28" s="59"/>
      <c r="B28" s="28" t="s">
        <v>658</v>
      </c>
      <c r="C28" s="28" t="s">
        <v>17</v>
      </c>
      <c r="D28" s="28" t="s">
        <v>422</v>
      </c>
      <c r="E28" s="59" t="s">
        <v>6</v>
      </c>
      <c r="F28" s="59" t="s">
        <v>6</v>
      </c>
      <c r="G28" s="59" t="s">
        <v>6</v>
      </c>
      <c r="H28" s="8">
        <f>SUM(H29:H36)</f>
        <v>0</v>
      </c>
      <c r="I28" s="8">
        <f>SUM(I29:I36)</f>
        <v>228297.71000000002</v>
      </c>
      <c r="J28" s="8">
        <f>SUM(J29:J36)</f>
        <v>228297.71000000002</v>
      </c>
      <c r="K28" s="34"/>
      <c r="L28" s="8">
        <f>SUM(L29:L36)</f>
        <v>903.87149999999997</v>
      </c>
      <c r="M28" s="34"/>
      <c r="AI28" s="34" t="s">
        <v>658</v>
      </c>
      <c r="AS28" s="8">
        <f>SUM(AJ29:AJ36)</f>
        <v>0</v>
      </c>
      <c r="AT28" s="8">
        <f>SUM(AK29:AK36)</f>
        <v>0</v>
      </c>
      <c r="AU28" s="8">
        <f>SUM(AL29:AL36)</f>
        <v>228297.71000000002</v>
      </c>
    </row>
    <row r="29" spans="1:62">
      <c r="A29" s="1" t="s">
        <v>17</v>
      </c>
      <c r="B29" s="1" t="s">
        <v>658</v>
      </c>
      <c r="C29" s="1" t="s">
        <v>234</v>
      </c>
      <c r="D29" s="1" t="s">
        <v>423</v>
      </c>
      <c r="E29" s="1" t="s">
        <v>635</v>
      </c>
      <c r="F29" s="5">
        <f>'Rozpočet - vybrané sloupce'!AN24</f>
        <v>210.5</v>
      </c>
      <c r="G29" s="5">
        <f>'Rozpočet - vybrané sloupce'!AS24</f>
        <v>91</v>
      </c>
      <c r="H29" s="5">
        <f>F29*AO29</f>
        <v>0</v>
      </c>
      <c r="I29" s="5">
        <f>F29*AP29</f>
        <v>19155.5</v>
      </c>
      <c r="J29" s="5">
        <f>F29*G29</f>
        <v>19155.5</v>
      </c>
      <c r="K29" s="5">
        <v>0.27</v>
      </c>
      <c r="L29" s="5">
        <f>F29*K29</f>
        <v>56.835000000000001</v>
      </c>
      <c r="M29" s="38" t="s">
        <v>653</v>
      </c>
      <c r="Z29" s="22">
        <f>IF(AQ29="5",BJ29,0)</f>
        <v>0</v>
      </c>
      <c r="AB29" s="22">
        <f>IF(AQ29="1",BH29,0)</f>
        <v>0</v>
      </c>
      <c r="AC29" s="22">
        <f>IF(AQ29="1",BI29,0)</f>
        <v>19155.5</v>
      </c>
      <c r="AD29" s="22">
        <f>IF(AQ29="7",BH29,0)</f>
        <v>0</v>
      </c>
      <c r="AE29" s="22">
        <f>IF(AQ29="7",BI29,0)</f>
        <v>0</v>
      </c>
      <c r="AF29" s="22">
        <f>IF(AQ29="2",BH29,0)</f>
        <v>0</v>
      </c>
      <c r="AG29" s="22">
        <f>IF(AQ29="2",BI29,0)</f>
        <v>0</v>
      </c>
      <c r="AH29" s="22">
        <f>IF(AQ29="0",BJ29,0)</f>
        <v>0</v>
      </c>
      <c r="AI29" s="34" t="s">
        <v>658</v>
      </c>
      <c r="AJ29" s="5">
        <f>IF(AN29=0,J29,0)</f>
        <v>0</v>
      </c>
      <c r="AK29" s="5">
        <f>IF(AN29=15,J29,0)</f>
        <v>0</v>
      </c>
      <c r="AL29" s="5">
        <f>IF(AN29=21,J29,0)</f>
        <v>19155.5</v>
      </c>
      <c r="AN29" s="22">
        <v>21</v>
      </c>
      <c r="AO29" s="22">
        <f>G29*0</f>
        <v>0</v>
      </c>
      <c r="AP29" s="22">
        <f>G29*(1-0)</f>
        <v>91</v>
      </c>
      <c r="AQ29" s="38" t="s">
        <v>7</v>
      </c>
      <c r="AV29" s="22">
        <f>AW29+AX29</f>
        <v>19155.5</v>
      </c>
      <c r="AW29" s="22">
        <f>F29*AO29</f>
        <v>0</v>
      </c>
      <c r="AX29" s="22">
        <f>F29*AP29</f>
        <v>19155.5</v>
      </c>
      <c r="AY29" s="77" t="s">
        <v>893</v>
      </c>
      <c r="AZ29" s="77" t="s">
        <v>919</v>
      </c>
      <c r="BA29" s="34" t="s">
        <v>934</v>
      </c>
      <c r="BC29" s="22">
        <f>AW29+AX29</f>
        <v>19155.5</v>
      </c>
      <c r="BD29" s="22">
        <f>G29/(100-BE29)*100</f>
        <v>91</v>
      </c>
      <c r="BE29" s="22">
        <v>0</v>
      </c>
      <c r="BF29" s="22">
        <f>L29</f>
        <v>56.835000000000001</v>
      </c>
      <c r="BH29" s="5">
        <f>F29*AO29</f>
        <v>0</v>
      </c>
      <c r="BI29" s="5">
        <f>F29*AP29</f>
        <v>19155.5</v>
      </c>
      <c r="BJ29" s="5">
        <f>F29*G29</f>
        <v>19155.5</v>
      </c>
    </row>
    <row r="30" spans="1:62">
      <c r="A30" s="1" t="s">
        <v>18</v>
      </c>
      <c r="B30" s="1" t="s">
        <v>658</v>
      </c>
      <c r="C30" s="1" t="s">
        <v>235</v>
      </c>
      <c r="D30" s="1" t="s">
        <v>424</v>
      </c>
      <c r="E30" s="1" t="s">
        <v>636</v>
      </c>
      <c r="F30" s="5">
        <f>'Rozpočet - vybrané sloupce'!AN25</f>
        <v>930</v>
      </c>
      <c r="G30" s="5">
        <f>'Rozpočet - vybrané sloupce'!AS25</f>
        <v>125.99</v>
      </c>
      <c r="H30" s="5">
        <f>F30*AO30</f>
        <v>0</v>
      </c>
      <c r="I30" s="5">
        <f>F30*AP30</f>
        <v>117170.7</v>
      </c>
      <c r="J30" s="5">
        <f>F30*G30</f>
        <v>117170.7</v>
      </c>
      <c r="K30" s="5">
        <v>0.17599999999999999</v>
      </c>
      <c r="L30" s="5">
        <f>F30*K30</f>
        <v>163.67999999999998</v>
      </c>
      <c r="M30" s="38" t="s">
        <v>653</v>
      </c>
      <c r="Z30" s="22">
        <f>IF(AQ30="5",BJ30,0)</f>
        <v>0</v>
      </c>
      <c r="AB30" s="22">
        <f>IF(AQ30="1",BH30,0)</f>
        <v>0</v>
      </c>
      <c r="AC30" s="22">
        <f>IF(AQ30="1",BI30,0)</f>
        <v>117170.7</v>
      </c>
      <c r="AD30" s="22">
        <f>IF(AQ30="7",BH30,0)</f>
        <v>0</v>
      </c>
      <c r="AE30" s="22">
        <f>IF(AQ30="7",BI30,0)</f>
        <v>0</v>
      </c>
      <c r="AF30" s="22">
        <f>IF(AQ30="2",BH30,0)</f>
        <v>0</v>
      </c>
      <c r="AG30" s="22">
        <f>IF(AQ30="2",BI30,0)</f>
        <v>0</v>
      </c>
      <c r="AH30" s="22">
        <f>IF(AQ30="0",BJ30,0)</f>
        <v>0</v>
      </c>
      <c r="AI30" s="34" t="s">
        <v>658</v>
      </c>
      <c r="AJ30" s="5">
        <f>IF(AN30=0,J30,0)</f>
        <v>0</v>
      </c>
      <c r="AK30" s="5">
        <f>IF(AN30=15,J30,0)</f>
        <v>0</v>
      </c>
      <c r="AL30" s="5">
        <f>IF(AN30=21,J30,0)</f>
        <v>117170.7</v>
      </c>
      <c r="AN30" s="22">
        <v>21</v>
      </c>
      <c r="AO30" s="22">
        <f>G30*0</f>
        <v>0</v>
      </c>
      <c r="AP30" s="22">
        <f>G30*(1-0)</f>
        <v>125.99</v>
      </c>
      <c r="AQ30" s="38" t="s">
        <v>7</v>
      </c>
      <c r="AV30" s="22">
        <f>AW30+AX30</f>
        <v>117170.7</v>
      </c>
      <c r="AW30" s="22">
        <f>F30*AO30</f>
        <v>0</v>
      </c>
      <c r="AX30" s="22">
        <f>F30*AP30</f>
        <v>117170.7</v>
      </c>
      <c r="AY30" s="77" t="s">
        <v>893</v>
      </c>
      <c r="AZ30" s="77" t="s">
        <v>919</v>
      </c>
      <c r="BA30" s="34" t="s">
        <v>934</v>
      </c>
      <c r="BC30" s="22">
        <f>AW30+AX30</f>
        <v>117170.7</v>
      </c>
      <c r="BD30" s="22">
        <f>G30/(100-BE30)*100</f>
        <v>125.99000000000001</v>
      </c>
      <c r="BE30" s="22">
        <v>0</v>
      </c>
      <c r="BF30" s="22">
        <f>L30</f>
        <v>163.67999999999998</v>
      </c>
      <c r="BH30" s="5">
        <f>F30*AO30</f>
        <v>0</v>
      </c>
      <c r="BI30" s="5">
        <f>F30*AP30</f>
        <v>117170.7</v>
      </c>
      <c r="BJ30" s="5">
        <f>F30*G30</f>
        <v>117170.7</v>
      </c>
    </row>
    <row r="31" spans="1:62">
      <c r="A31" s="1" t="s">
        <v>19</v>
      </c>
      <c r="B31" s="1" t="s">
        <v>658</v>
      </c>
      <c r="C31" s="1" t="s">
        <v>236</v>
      </c>
      <c r="D31" s="1" t="s">
        <v>425</v>
      </c>
      <c r="E31" s="1" t="s">
        <v>636</v>
      </c>
      <c r="F31" s="5">
        <f>'Rozpočet - vybrané sloupce'!AN26</f>
        <v>930</v>
      </c>
      <c r="G31" s="5">
        <f>'Rozpočet - vybrané sloupce'!AS26</f>
        <v>73.900000000000006</v>
      </c>
      <c r="H31" s="5">
        <f>F31*AO31</f>
        <v>0</v>
      </c>
      <c r="I31" s="5">
        <f>F31*AP31</f>
        <v>68727</v>
      </c>
      <c r="J31" s="5">
        <f>F31*G31</f>
        <v>68727</v>
      </c>
      <c r="K31" s="5">
        <v>0.72599999999999998</v>
      </c>
      <c r="L31" s="5">
        <f>F31*K31</f>
        <v>675.18</v>
      </c>
      <c r="M31" s="38" t="s">
        <v>653</v>
      </c>
      <c r="Z31" s="22">
        <f>IF(AQ31="5",BJ31,0)</f>
        <v>0</v>
      </c>
      <c r="AB31" s="22">
        <f>IF(AQ31="1",BH31,0)</f>
        <v>0</v>
      </c>
      <c r="AC31" s="22">
        <f>IF(AQ31="1",BI31,0)</f>
        <v>68727</v>
      </c>
      <c r="AD31" s="22">
        <f>IF(AQ31="7",BH31,0)</f>
        <v>0</v>
      </c>
      <c r="AE31" s="22">
        <f>IF(AQ31="7",BI31,0)</f>
        <v>0</v>
      </c>
      <c r="AF31" s="22">
        <f>IF(AQ31="2",BH31,0)</f>
        <v>0</v>
      </c>
      <c r="AG31" s="22">
        <f>IF(AQ31="2",BI31,0)</f>
        <v>0</v>
      </c>
      <c r="AH31" s="22">
        <f>IF(AQ31="0",BJ31,0)</f>
        <v>0</v>
      </c>
      <c r="AI31" s="34" t="s">
        <v>658</v>
      </c>
      <c r="AJ31" s="5">
        <f>IF(AN31=0,J31,0)</f>
        <v>0</v>
      </c>
      <c r="AK31" s="5">
        <f>IF(AN31=15,J31,0)</f>
        <v>0</v>
      </c>
      <c r="AL31" s="5">
        <f>IF(AN31=21,J31,0)</f>
        <v>68727</v>
      </c>
      <c r="AN31" s="22">
        <v>21</v>
      </c>
      <c r="AO31" s="22">
        <f>G31*0</f>
        <v>0</v>
      </c>
      <c r="AP31" s="22">
        <f>G31*(1-0)</f>
        <v>73.900000000000006</v>
      </c>
      <c r="AQ31" s="38" t="s">
        <v>7</v>
      </c>
      <c r="AV31" s="22">
        <f>AW31+AX31</f>
        <v>68727</v>
      </c>
      <c r="AW31" s="22">
        <f>F31*AO31</f>
        <v>0</v>
      </c>
      <c r="AX31" s="22">
        <f>F31*AP31</f>
        <v>68727</v>
      </c>
      <c r="AY31" s="77" t="s">
        <v>893</v>
      </c>
      <c r="AZ31" s="77" t="s">
        <v>919</v>
      </c>
      <c r="BA31" s="34" t="s">
        <v>934</v>
      </c>
      <c r="BC31" s="22">
        <f>AW31+AX31</f>
        <v>68727</v>
      </c>
      <c r="BD31" s="22">
        <f>G31/(100-BE31)*100</f>
        <v>73.900000000000006</v>
      </c>
      <c r="BE31" s="22">
        <v>0</v>
      </c>
      <c r="BF31" s="22">
        <f>L31</f>
        <v>675.18</v>
      </c>
      <c r="BH31" s="5">
        <f>F31*AO31</f>
        <v>0</v>
      </c>
      <c r="BI31" s="5">
        <f>F31*AP31</f>
        <v>68727</v>
      </c>
      <c r="BJ31" s="5">
        <f>F31*G31</f>
        <v>68727</v>
      </c>
    </row>
    <row r="32" spans="1:62" ht="25.7" customHeight="1">
      <c r="C32" s="67" t="s">
        <v>672</v>
      </c>
      <c r="D32" s="167" t="s">
        <v>678</v>
      </c>
      <c r="E32" s="168"/>
      <c r="F32" s="168"/>
      <c r="G32" s="168"/>
      <c r="H32" s="168"/>
      <c r="I32" s="168"/>
      <c r="J32" s="168"/>
      <c r="K32" s="168"/>
      <c r="L32" s="168"/>
      <c r="M32" s="168"/>
    </row>
    <row r="33" spans="1:62">
      <c r="A33" s="1" t="s">
        <v>20</v>
      </c>
      <c r="B33" s="1" t="s">
        <v>658</v>
      </c>
      <c r="C33" s="1" t="s">
        <v>237</v>
      </c>
      <c r="D33" s="1" t="s">
        <v>426</v>
      </c>
      <c r="E33" s="1" t="s">
        <v>636</v>
      </c>
      <c r="F33" s="5">
        <f>'Rozpočet - vybrané sloupce'!AN27</f>
        <v>59.25</v>
      </c>
      <c r="G33" s="5">
        <f>'Rozpočet - vybrané sloupce'!AS27</f>
        <v>59.2</v>
      </c>
      <c r="H33" s="5">
        <f>F33*AO33</f>
        <v>0</v>
      </c>
      <c r="I33" s="5">
        <f>F33*AP33</f>
        <v>3507.6000000000004</v>
      </c>
      <c r="J33" s="5">
        <f>F33*G33</f>
        <v>3507.6000000000004</v>
      </c>
      <c r="K33" s="5">
        <v>0.13800000000000001</v>
      </c>
      <c r="L33" s="5">
        <f>F33*K33</f>
        <v>8.1765000000000008</v>
      </c>
      <c r="M33" s="38" t="s">
        <v>653</v>
      </c>
      <c r="Z33" s="22">
        <f>IF(AQ33="5",BJ33,0)</f>
        <v>0</v>
      </c>
      <c r="AB33" s="22">
        <f>IF(AQ33="1",BH33,0)</f>
        <v>0</v>
      </c>
      <c r="AC33" s="22">
        <f>IF(AQ33="1",BI33,0)</f>
        <v>3507.6000000000004</v>
      </c>
      <c r="AD33" s="22">
        <f>IF(AQ33="7",BH33,0)</f>
        <v>0</v>
      </c>
      <c r="AE33" s="22">
        <f>IF(AQ33="7",BI33,0)</f>
        <v>0</v>
      </c>
      <c r="AF33" s="22">
        <f>IF(AQ33="2",BH33,0)</f>
        <v>0</v>
      </c>
      <c r="AG33" s="22">
        <f>IF(AQ33="2",BI33,0)</f>
        <v>0</v>
      </c>
      <c r="AH33" s="22">
        <f>IF(AQ33="0",BJ33,0)</f>
        <v>0</v>
      </c>
      <c r="AI33" s="34" t="s">
        <v>658</v>
      </c>
      <c r="AJ33" s="5">
        <f>IF(AN33=0,J33,0)</f>
        <v>0</v>
      </c>
      <c r="AK33" s="5">
        <f>IF(AN33=15,J33,0)</f>
        <v>0</v>
      </c>
      <c r="AL33" s="5">
        <f>IF(AN33=21,J33,0)</f>
        <v>3507.6000000000004</v>
      </c>
      <c r="AN33" s="22">
        <v>21</v>
      </c>
      <c r="AO33" s="22">
        <f>G33*0</f>
        <v>0</v>
      </c>
      <c r="AP33" s="22">
        <f>G33*(1-0)</f>
        <v>59.2</v>
      </c>
      <c r="AQ33" s="38" t="s">
        <v>7</v>
      </c>
      <c r="AV33" s="22">
        <f>AW33+AX33</f>
        <v>3507.6000000000004</v>
      </c>
      <c r="AW33" s="22">
        <f>F33*AO33</f>
        <v>0</v>
      </c>
      <c r="AX33" s="22">
        <f>F33*AP33</f>
        <v>3507.6000000000004</v>
      </c>
      <c r="AY33" s="77" t="s">
        <v>893</v>
      </c>
      <c r="AZ33" s="77" t="s">
        <v>919</v>
      </c>
      <c r="BA33" s="34" t="s">
        <v>934</v>
      </c>
      <c r="BC33" s="22">
        <f>AW33+AX33</f>
        <v>3507.6000000000004</v>
      </c>
      <c r="BD33" s="22">
        <f>G33/(100-BE33)*100</f>
        <v>59.20000000000001</v>
      </c>
      <c r="BE33" s="22">
        <v>0</v>
      </c>
      <c r="BF33" s="22">
        <f>L33</f>
        <v>8.1765000000000008</v>
      </c>
      <c r="BH33" s="5">
        <f>F33*AO33</f>
        <v>0</v>
      </c>
      <c r="BI33" s="5">
        <f>F33*AP33</f>
        <v>3507.6000000000004</v>
      </c>
      <c r="BJ33" s="5">
        <f>F33*G33</f>
        <v>3507.6000000000004</v>
      </c>
    </row>
    <row r="34" spans="1:62">
      <c r="C34" s="67" t="s">
        <v>672</v>
      </c>
      <c r="D34" s="167" t="s">
        <v>681</v>
      </c>
      <c r="E34" s="168"/>
      <c r="F34" s="168"/>
      <c r="G34" s="168"/>
      <c r="H34" s="168"/>
      <c r="I34" s="168"/>
      <c r="J34" s="168"/>
      <c r="K34" s="168"/>
      <c r="L34" s="168"/>
      <c r="M34" s="168"/>
    </row>
    <row r="35" spans="1:62">
      <c r="A35" s="1" t="s">
        <v>21</v>
      </c>
      <c r="B35" s="1" t="s">
        <v>658</v>
      </c>
      <c r="C35" s="1" t="s">
        <v>238</v>
      </c>
      <c r="D35" s="1" t="s">
        <v>427</v>
      </c>
      <c r="E35" s="1" t="s">
        <v>637</v>
      </c>
      <c r="F35" s="5">
        <f>'Rozpočet - vybrané sloupce'!AN28</f>
        <v>9</v>
      </c>
      <c r="G35" s="5">
        <f>'Rozpočet - vybrané sloupce'!AS28</f>
        <v>566.99</v>
      </c>
      <c r="H35" s="5">
        <f>F35*AO35</f>
        <v>0</v>
      </c>
      <c r="I35" s="5">
        <f>F35*AP35</f>
        <v>5102.91</v>
      </c>
      <c r="J35" s="5">
        <f>F35*G35</f>
        <v>5102.91</v>
      </c>
      <c r="K35" s="5">
        <v>0</v>
      </c>
      <c r="L35" s="5">
        <f>F35*K35</f>
        <v>0</v>
      </c>
      <c r="M35" s="38" t="s">
        <v>653</v>
      </c>
      <c r="Z35" s="22">
        <f>IF(AQ35="5",BJ35,0)</f>
        <v>0</v>
      </c>
      <c r="AB35" s="22">
        <f>IF(AQ35="1",BH35,0)</f>
        <v>0</v>
      </c>
      <c r="AC35" s="22">
        <f>IF(AQ35="1",BI35,0)</f>
        <v>5102.91</v>
      </c>
      <c r="AD35" s="22">
        <f>IF(AQ35="7",BH35,0)</f>
        <v>0</v>
      </c>
      <c r="AE35" s="22">
        <f>IF(AQ35="7",BI35,0)</f>
        <v>0</v>
      </c>
      <c r="AF35" s="22">
        <f>IF(AQ35="2",BH35,0)</f>
        <v>0</v>
      </c>
      <c r="AG35" s="22">
        <f>IF(AQ35="2",BI35,0)</f>
        <v>0</v>
      </c>
      <c r="AH35" s="22">
        <f>IF(AQ35="0",BJ35,0)</f>
        <v>0</v>
      </c>
      <c r="AI35" s="34" t="s">
        <v>658</v>
      </c>
      <c r="AJ35" s="5">
        <f>IF(AN35=0,J35,0)</f>
        <v>0</v>
      </c>
      <c r="AK35" s="5">
        <f>IF(AN35=15,J35,0)</f>
        <v>0</v>
      </c>
      <c r="AL35" s="5">
        <f>IF(AN35=21,J35,0)</f>
        <v>5102.91</v>
      </c>
      <c r="AN35" s="22">
        <v>21</v>
      </c>
      <c r="AO35" s="22">
        <f>G35*0</f>
        <v>0</v>
      </c>
      <c r="AP35" s="22">
        <f>G35*(1-0)</f>
        <v>566.99</v>
      </c>
      <c r="AQ35" s="38" t="s">
        <v>7</v>
      </c>
      <c r="AV35" s="22">
        <f>AW35+AX35</f>
        <v>5102.91</v>
      </c>
      <c r="AW35" s="22">
        <f>F35*AO35</f>
        <v>0</v>
      </c>
      <c r="AX35" s="22">
        <f>F35*AP35</f>
        <v>5102.91</v>
      </c>
      <c r="AY35" s="77" t="s">
        <v>893</v>
      </c>
      <c r="AZ35" s="77" t="s">
        <v>919</v>
      </c>
      <c r="BA35" s="34" t="s">
        <v>934</v>
      </c>
      <c r="BC35" s="22">
        <f>AW35+AX35</f>
        <v>5102.91</v>
      </c>
      <c r="BD35" s="22">
        <f>G35/(100-BE35)*100</f>
        <v>566.99</v>
      </c>
      <c r="BE35" s="22">
        <v>0</v>
      </c>
      <c r="BF35" s="22">
        <f>L35</f>
        <v>0</v>
      </c>
      <c r="BH35" s="5">
        <f>F35*AO35</f>
        <v>0</v>
      </c>
      <c r="BI35" s="5">
        <f>F35*AP35</f>
        <v>5102.91</v>
      </c>
      <c r="BJ35" s="5">
        <f>F35*G35</f>
        <v>5102.91</v>
      </c>
    </row>
    <row r="36" spans="1:62">
      <c r="A36" s="1" t="s">
        <v>22</v>
      </c>
      <c r="B36" s="1" t="s">
        <v>658</v>
      </c>
      <c r="C36" s="1" t="s">
        <v>239</v>
      </c>
      <c r="D36" s="1" t="s">
        <v>428</v>
      </c>
      <c r="E36" s="1" t="s">
        <v>637</v>
      </c>
      <c r="F36" s="5">
        <f>'Rozpočet - vybrané sloupce'!AN29</f>
        <v>9</v>
      </c>
      <c r="G36" s="5">
        <f>'Rozpočet - vybrané sloupce'!AS29</f>
        <v>1626</v>
      </c>
      <c r="H36" s="5">
        <f>F36*AO36</f>
        <v>0</v>
      </c>
      <c r="I36" s="5">
        <f>F36*AP36</f>
        <v>14634</v>
      </c>
      <c r="J36" s="5">
        <f>F36*G36</f>
        <v>14634</v>
      </c>
      <c r="K36" s="5">
        <v>0</v>
      </c>
      <c r="L36" s="5">
        <f>F36*K36</f>
        <v>0</v>
      </c>
      <c r="M36" s="38" t="s">
        <v>654</v>
      </c>
      <c r="Z36" s="22">
        <f>IF(AQ36="5",BJ36,0)</f>
        <v>0</v>
      </c>
      <c r="AB36" s="22">
        <f>IF(AQ36="1",BH36,0)</f>
        <v>0</v>
      </c>
      <c r="AC36" s="22">
        <f>IF(AQ36="1",BI36,0)</f>
        <v>14634</v>
      </c>
      <c r="AD36" s="22">
        <f>IF(AQ36="7",BH36,0)</f>
        <v>0</v>
      </c>
      <c r="AE36" s="22">
        <f>IF(AQ36="7",BI36,0)</f>
        <v>0</v>
      </c>
      <c r="AF36" s="22">
        <f>IF(AQ36="2",BH36,0)</f>
        <v>0</v>
      </c>
      <c r="AG36" s="22">
        <f>IF(AQ36="2",BI36,0)</f>
        <v>0</v>
      </c>
      <c r="AH36" s="22">
        <f>IF(AQ36="0",BJ36,0)</f>
        <v>0</v>
      </c>
      <c r="AI36" s="34" t="s">
        <v>658</v>
      </c>
      <c r="AJ36" s="5">
        <f>IF(AN36=0,J36,0)</f>
        <v>0</v>
      </c>
      <c r="AK36" s="5">
        <f>IF(AN36=15,J36,0)</f>
        <v>0</v>
      </c>
      <c r="AL36" s="5">
        <f>IF(AN36=21,J36,0)</f>
        <v>14634</v>
      </c>
      <c r="AN36" s="22">
        <v>21</v>
      </c>
      <c r="AO36" s="22">
        <f>G36*0</f>
        <v>0</v>
      </c>
      <c r="AP36" s="22">
        <f>G36*(1-0)</f>
        <v>1626</v>
      </c>
      <c r="AQ36" s="38" t="s">
        <v>7</v>
      </c>
      <c r="AV36" s="22">
        <f>AW36+AX36</f>
        <v>14634</v>
      </c>
      <c r="AW36" s="22">
        <f>F36*AO36</f>
        <v>0</v>
      </c>
      <c r="AX36" s="22">
        <f>F36*AP36</f>
        <v>14634</v>
      </c>
      <c r="AY36" s="77" t="s">
        <v>893</v>
      </c>
      <c r="AZ36" s="77" t="s">
        <v>919</v>
      </c>
      <c r="BA36" s="34" t="s">
        <v>934</v>
      </c>
      <c r="BC36" s="22">
        <f>AW36+AX36</f>
        <v>14634</v>
      </c>
      <c r="BD36" s="22">
        <f>G36/(100-BE36)*100</f>
        <v>1626.0000000000002</v>
      </c>
      <c r="BE36" s="22">
        <v>0</v>
      </c>
      <c r="BF36" s="22">
        <f>L36</f>
        <v>0</v>
      </c>
      <c r="BH36" s="5">
        <f>F36*AO36</f>
        <v>0</v>
      </c>
      <c r="BI36" s="5">
        <f>F36*AP36</f>
        <v>14634</v>
      </c>
      <c r="BJ36" s="5">
        <f>F36*G36</f>
        <v>14634</v>
      </c>
    </row>
    <row r="37" spans="1:62">
      <c r="A37" s="59"/>
      <c r="B37" s="28" t="s">
        <v>658</v>
      </c>
      <c r="C37" s="28" t="s">
        <v>18</v>
      </c>
      <c r="D37" s="28" t="s">
        <v>429</v>
      </c>
      <c r="E37" s="59" t="s">
        <v>6</v>
      </c>
      <c r="F37" s="59" t="s">
        <v>6</v>
      </c>
      <c r="G37" s="59" t="s">
        <v>6</v>
      </c>
      <c r="H37" s="8">
        <f>SUM(H38:H44)</f>
        <v>0</v>
      </c>
      <c r="I37" s="8">
        <f>SUM(I38:I44)</f>
        <v>14343.334499999997</v>
      </c>
      <c r="J37" s="8">
        <f>SUM(J38:J44)</f>
        <v>14343.334499999997</v>
      </c>
      <c r="K37" s="34"/>
      <c r="L37" s="8">
        <f>SUM(L38:L44)</f>
        <v>0</v>
      </c>
      <c r="M37" s="34"/>
      <c r="AI37" s="34" t="s">
        <v>658</v>
      </c>
      <c r="AS37" s="8">
        <f>SUM(AJ38:AJ44)</f>
        <v>0</v>
      </c>
      <c r="AT37" s="8">
        <f>SUM(AK38:AK44)</f>
        <v>0</v>
      </c>
      <c r="AU37" s="8">
        <f>SUM(AL38:AL44)</f>
        <v>14343.334499999997</v>
      </c>
    </row>
    <row r="38" spans="1:62">
      <c r="A38" s="1" t="s">
        <v>23</v>
      </c>
      <c r="B38" s="1" t="s">
        <v>658</v>
      </c>
      <c r="C38" s="1" t="s">
        <v>240</v>
      </c>
      <c r="D38" s="1" t="s">
        <v>430</v>
      </c>
      <c r="E38" s="1" t="s">
        <v>638</v>
      </c>
      <c r="F38" s="5">
        <f>'Rozpočet - vybrané sloupce'!AN31</f>
        <v>18.25</v>
      </c>
      <c r="G38" s="5">
        <f>'Rozpočet - vybrané sloupce'!AS31</f>
        <v>74.099999999999994</v>
      </c>
      <c r="H38" s="5">
        <f>F38*AO38</f>
        <v>0</v>
      </c>
      <c r="I38" s="5">
        <f>F38*AP38</f>
        <v>1352.3249999999998</v>
      </c>
      <c r="J38" s="5">
        <f>F38*G38</f>
        <v>1352.3249999999998</v>
      </c>
      <c r="K38" s="5">
        <v>0</v>
      </c>
      <c r="L38" s="5">
        <f>F38*K38</f>
        <v>0</v>
      </c>
      <c r="M38" s="38" t="s">
        <v>653</v>
      </c>
      <c r="Z38" s="22">
        <f>IF(AQ38="5",BJ38,0)</f>
        <v>0</v>
      </c>
      <c r="AB38" s="22">
        <f>IF(AQ38="1",BH38,0)</f>
        <v>0</v>
      </c>
      <c r="AC38" s="22">
        <f>IF(AQ38="1",BI38,0)</f>
        <v>1352.3249999999998</v>
      </c>
      <c r="AD38" s="22">
        <f>IF(AQ38="7",BH38,0)</f>
        <v>0</v>
      </c>
      <c r="AE38" s="22">
        <f>IF(AQ38="7",BI38,0)</f>
        <v>0</v>
      </c>
      <c r="AF38" s="22">
        <f>IF(AQ38="2",BH38,0)</f>
        <v>0</v>
      </c>
      <c r="AG38" s="22">
        <f>IF(AQ38="2",BI38,0)</f>
        <v>0</v>
      </c>
      <c r="AH38" s="22">
        <f>IF(AQ38="0",BJ38,0)</f>
        <v>0</v>
      </c>
      <c r="AI38" s="34" t="s">
        <v>658</v>
      </c>
      <c r="AJ38" s="5">
        <f>IF(AN38=0,J38,0)</f>
        <v>0</v>
      </c>
      <c r="AK38" s="5">
        <f>IF(AN38=15,J38,0)</f>
        <v>0</v>
      </c>
      <c r="AL38" s="5">
        <f>IF(AN38=21,J38,0)</f>
        <v>1352.3249999999998</v>
      </c>
      <c r="AN38" s="22">
        <v>21</v>
      </c>
      <c r="AO38" s="22">
        <f>G38*0</f>
        <v>0</v>
      </c>
      <c r="AP38" s="22">
        <f>G38*(1-0)</f>
        <v>74.099999999999994</v>
      </c>
      <c r="AQ38" s="38" t="s">
        <v>7</v>
      </c>
      <c r="AV38" s="22">
        <f>AW38+AX38</f>
        <v>1352.3249999999998</v>
      </c>
      <c r="AW38" s="22">
        <f>F38*AO38</f>
        <v>0</v>
      </c>
      <c r="AX38" s="22">
        <f>F38*AP38</f>
        <v>1352.3249999999998</v>
      </c>
      <c r="AY38" s="77" t="s">
        <v>894</v>
      </c>
      <c r="AZ38" s="77" t="s">
        <v>919</v>
      </c>
      <c r="BA38" s="34" t="s">
        <v>934</v>
      </c>
      <c r="BC38" s="22">
        <f>AW38+AX38</f>
        <v>1352.3249999999998</v>
      </c>
      <c r="BD38" s="22">
        <f>G38/(100-BE38)*100</f>
        <v>74.099999999999994</v>
      </c>
      <c r="BE38" s="22">
        <v>0</v>
      </c>
      <c r="BF38" s="22">
        <f>L38</f>
        <v>0</v>
      </c>
      <c r="BH38" s="5">
        <f>F38*AO38</f>
        <v>0</v>
      </c>
      <c r="BI38" s="5">
        <f>F38*AP38</f>
        <v>1352.3249999999998</v>
      </c>
      <c r="BJ38" s="5">
        <f>F38*G38</f>
        <v>1352.3249999999998</v>
      </c>
    </row>
    <row r="39" spans="1:62" ht="38.450000000000003" customHeight="1">
      <c r="C39" s="67" t="s">
        <v>672</v>
      </c>
      <c r="D39" s="167" t="s">
        <v>870</v>
      </c>
      <c r="E39" s="168"/>
      <c r="F39" s="168"/>
      <c r="G39" s="168"/>
      <c r="H39" s="168"/>
      <c r="I39" s="168"/>
      <c r="J39" s="168"/>
      <c r="K39" s="168"/>
      <c r="L39" s="168"/>
      <c r="M39" s="168"/>
    </row>
    <row r="40" spans="1:62" ht="38.450000000000003" customHeight="1">
      <c r="D40" s="167" t="s">
        <v>871</v>
      </c>
      <c r="E40" s="168"/>
      <c r="F40" s="168"/>
      <c r="G40" s="168"/>
      <c r="H40" s="168"/>
      <c r="I40" s="168"/>
      <c r="J40" s="168"/>
      <c r="K40" s="168"/>
      <c r="L40" s="168"/>
      <c r="M40" s="168"/>
    </row>
    <row r="41" spans="1:62" ht="38.450000000000003" customHeight="1">
      <c r="D41" s="167" t="s">
        <v>872</v>
      </c>
      <c r="E41" s="168"/>
      <c r="F41" s="168"/>
      <c r="G41" s="168"/>
      <c r="H41" s="168"/>
      <c r="I41" s="168"/>
      <c r="J41" s="168"/>
      <c r="K41" s="168"/>
      <c r="L41" s="168"/>
      <c r="M41" s="168"/>
    </row>
    <row r="42" spans="1:62">
      <c r="D42" s="167" t="s">
        <v>873</v>
      </c>
      <c r="E42" s="168"/>
      <c r="F42" s="168"/>
      <c r="G42" s="168"/>
      <c r="H42" s="168"/>
      <c r="I42" s="168"/>
      <c r="J42" s="168"/>
      <c r="K42" s="168"/>
      <c r="L42" s="168"/>
      <c r="M42" s="168"/>
    </row>
    <row r="43" spans="1:62">
      <c r="A43" s="1" t="s">
        <v>24</v>
      </c>
      <c r="B43" s="1" t="s">
        <v>658</v>
      </c>
      <c r="C43" s="1" t="s">
        <v>241</v>
      </c>
      <c r="D43" s="1" t="s">
        <v>431</v>
      </c>
      <c r="E43" s="1" t="s">
        <v>638</v>
      </c>
      <c r="F43" s="5">
        <f>'Rozpočet - vybrané sloupce'!AN32</f>
        <v>58.05</v>
      </c>
      <c r="G43" s="5">
        <f>'Rozpočet - vybrané sloupce'!AS32</f>
        <v>186.5</v>
      </c>
      <c r="H43" s="5">
        <f>F43*AO43</f>
        <v>0</v>
      </c>
      <c r="I43" s="5">
        <f>F43*AP43</f>
        <v>10826.324999999999</v>
      </c>
      <c r="J43" s="5">
        <f>F43*G43</f>
        <v>10826.324999999999</v>
      </c>
      <c r="K43" s="5">
        <v>0</v>
      </c>
      <c r="L43" s="5">
        <f>F43*K43</f>
        <v>0</v>
      </c>
      <c r="M43" s="38" t="s">
        <v>653</v>
      </c>
      <c r="Z43" s="22">
        <f>IF(AQ43="5",BJ43,0)</f>
        <v>0</v>
      </c>
      <c r="AB43" s="22">
        <f>IF(AQ43="1",BH43,0)</f>
        <v>0</v>
      </c>
      <c r="AC43" s="22">
        <f>IF(AQ43="1",BI43,0)</f>
        <v>10826.324999999999</v>
      </c>
      <c r="AD43" s="22">
        <f>IF(AQ43="7",BH43,0)</f>
        <v>0</v>
      </c>
      <c r="AE43" s="22">
        <f>IF(AQ43="7",BI43,0)</f>
        <v>0</v>
      </c>
      <c r="AF43" s="22">
        <f>IF(AQ43="2",BH43,0)</f>
        <v>0</v>
      </c>
      <c r="AG43" s="22">
        <f>IF(AQ43="2",BI43,0)</f>
        <v>0</v>
      </c>
      <c r="AH43" s="22">
        <f>IF(AQ43="0",BJ43,0)</f>
        <v>0</v>
      </c>
      <c r="AI43" s="34" t="s">
        <v>658</v>
      </c>
      <c r="AJ43" s="5">
        <f>IF(AN43=0,J43,0)</f>
        <v>0</v>
      </c>
      <c r="AK43" s="5">
        <f>IF(AN43=15,J43,0)</f>
        <v>0</v>
      </c>
      <c r="AL43" s="5">
        <f>IF(AN43=21,J43,0)</f>
        <v>10826.324999999999</v>
      </c>
      <c r="AN43" s="22">
        <v>21</v>
      </c>
      <c r="AO43" s="22">
        <f>G43*0</f>
        <v>0</v>
      </c>
      <c r="AP43" s="22">
        <f>G43*(1-0)</f>
        <v>186.5</v>
      </c>
      <c r="AQ43" s="38" t="s">
        <v>7</v>
      </c>
      <c r="AV43" s="22">
        <f>AW43+AX43</f>
        <v>10826.324999999999</v>
      </c>
      <c r="AW43" s="22">
        <f>F43*AO43</f>
        <v>0</v>
      </c>
      <c r="AX43" s="22">
        <f>F43*AP43</f>
        <v>10826.324999999999</v>
      </c>
      <c r="AY43" s="77" t="s">
        <v>894</v>
      </c>
      <c r="AZ43" s="77" t="s">
        <v>919</v>
      </c>
      <c r="BA43" s="34" t="s">
        <v>934</v>
      </c>
      <c r="BC43" s="22">
        <f>AW43+AX43</f>
        <v>10826.324999999999</v>
      </c>
      <c r="BD43" s="22">
        <f>G43/(100-BE43)*100</f>
        <v>186.5</v>
      </c>
      <c r="BE43" s="22">
        <v>0</v>
      </c>
      <c r="BF43" s="22">
        <f>L43</f>
        <v>0</v>
      </c>
      <c r="BH43" s="5">
        <f>F43*AO43</f>
        <v>0</v>
      </c>
      <c r="BI43" s="5">
        <f>F43*AP43</f>
        <v>10826.324999999999</v>
      </c>
      <c r="BJ43" s="5">
        <f>F43*G43</f>
        <v>10826.324999999999</v>
      </c>
    </row>
    <row r="44" spans="1:62">
      <c r="A44" s="1" t="s">
        <v>25</v>
      </c>
      <c r="B44" s="1" t="s">
        <v>658</v>
      </c>
      <c r="C44" s="1" t="s">
        <v>242</v>
      </c>
      <c r="D44" s="1" t="s">
        <v>432</v>
      </c>
      <c r="E44" s="1" t="s">
        <v>638</v>
      </c>
      <c r="F44" s="5">
        <f>'Rozpočet - vybrané sloupce'!AN33</f>
        <v>58.05</v>
      </c>
      <c r="G44" s="5">
        <f>'Rozpočet - vybrané sloupce'!AS33</f>
        <v>37.29</v>
      </c>
      <c r="H44" s="5">
        <f>F44*AO44</f>
        <v>0</v>
      </c>
      <c r="I44" s="5">
        <f>F44*AP44</f>
        <v>2164.6844999999998</v>
      </c>
      <c r="J44" s="5">
        <f>F44*G44</f>
        <v>2164.6844999999998</v>
      </c>
      <c r="K44" s="5">
        <v>0</v>
      </c>
      <c r="L44" s="5">
        <f>F44*K44</f>
        <v>0</v>
      </c>
      <c r="M44" s="38" t="s">
        <v>653</v>
      </c>
      <c r="Z44" s="22">
        <f>IF(AQ44="5",BJ44,0)</f>
        <v>0</v>
      </c>
      <c r="AB44" s="22">
        <f>IF(AQ44="1",BH44,0)</f>
        <v>0</v>
      </c>
      <c r="AC44" s="22">
        <f>IF(AQ44="1",BI44,0)</f>
        <v>2164.6844999999998</v>
      </c>
      <c r="AD44" s="22">
        <f>IF(AQ44="7",BH44,0)</f>
        <v>0</v>
      </c>
      <c r="AE44" s="22">
        <f>IF(AQ44="7",BI44,0)</f>
        <v>0</v>
      </c>
      <c r="AF44" s="22">
        <f>IF(AQ44="2",BH44,0)</f>
        <v>0</v>
      </c>
      <c r="AG44" s="22">
        <f>IF(AQ44="2",BI44,0)</f>
        <v>0</v>
      </c>
      <c r="AH44" s="22">
        <f>IF(AQ44="0",BJ44,0)</f>
        <v>0</v>
      </c>
      <c r="AI44" s="34" t="s">
        <v>658</v>
      </c>
      <c r="AJ44" s="5">
        <f>IF(AN44=0,J44,0)</f>
        <v>0</v>
      </c>
      <c r="AK44" s="5">
        <f>IF(AN44=15,J44,0)</f>
        <v>0</v>
      </c>
      <c r="AL44" s="5">
        <f>IF(AN44=21,J44,0)</f>
        <v>2164.6844999999998</v>
      </c>
      <c r="AN44" s="22">
        <v>21</v>
      </c>
      <c r="AO44" s="22">
        <f>G44*0</f>
        <v>0</v>
      </c>
      <c r="AP44" s="22">
        <f>G44*(1-0)</f>
        <v>37.29</v>
      </c>
      <c r="AQ44" s="38" t="s">
        <v>7</v>
      </c>
      <c r="AV44" s="22">
        <f>AW44+AX44</f>
        <v>2164.6844999999998</v>
      </c>
      <c r="AW44" s="22">
        <f>F44*AO44</f>
        <v>0</v>
      </c>
      <c r="AX44" s="22">
        <f>F44*AP44</f>
        <v>2164.6844999999998</v>
      </c>
      <c r="AY44" s="77" t="s">
        <v>894</v>
      </c>
      <c r="AZ44" s="77" t="s">
        <v>919</v>
      </c>
      <c r="BA44" s="34" t="s">
        <v>934</v>
      </c>
      <c r="BC44" s="22">
        <f>AW44+AX44</f>
        <v>2164.6844999999998</v>
      </c>
      <c r="BD44" s="22">
        <f>G44/(100-BE44)*100</f>
        <v>37.29</v>
      </c>
      <c r="BE44" s="22">
        <v>0</v>
      </c>
      <c r="BF44" s="22">
        <f>L44</f>
        <v>0</v>
      </c>
      <c r="BH44" s="5">
        <f>F44*AO44</f>
        <v>0</v>
      </c>
      <c r="BI44" s="5">
        <f>F44*AP44</f>
        <v>2164.6844999999998</v>
      </c>
      <c r="BJ44" s="5">
        <f>F44*G44</f>
        <v>2164.6844999999998</v>
      </c>
    </row>
    <row r="45" spans="1:62">
      <c r="C45" s="67" t="s">
        <v>672</v>
      </c>
      <c r="D45" s="167" t="s">
        <v>690</v>
      </c>
      <c r="E45" s="168"/>
      <c r="F45" s="168"/>
      <c r="G45" s="168"/>
      <c r="H45" s="168"/>
      <c r="I45" s="168"/>
      <c r="J45" s="168"/>
      <c r="K45" s="168"/>
      <c r="L45" s="168"/>
      <c r="M45" s="168"/>
    </row>
    <row r="46" spans="1:62">
      <c r="A46" s="59"/>
      <c r="B46" s="28" t="s">
        <v>658</v>
      </c>
      <c r="C46" s="28" t="s">
        <v>19</v>
      </c>
      <c r="D46" s="28" t="s">
        <v>433</v>
      </c>
      <c r="E46" s="59" t="s">
        <v>6</v>
      </c>
      <c r="F46" s="59" t="s">
        <v>6</v>
      </c>
      <c r="G46" s="59" t="s">
        <v>6</v>
      </c>
      <c r="H46" s="8">
        <f>SUM(H47:H49)</f>
        <v>0</v>
      </c>
      <c r="I46" s="8">
        <f>SUM(I47:I49)</f>
        <v>2037.1805999999999</v>
      </c>
      <c r="J46" s="8">
        <f>SUM(J47:J49)</f>
        <v>2037.1805999999999</v>
      </c>
      <c r="K46" s="34"/>
      <c r="L46" s="8">
        <f>SUM(L47:L49)</f>
        <v>0</v>
      </c>
      <c r="M46" s="34"/>
      <c r="AI46" s="34" t="s">
        <v>658</v>
      </c>
      <c r="AS46" s="8">
        <f>SUM(AJ47:AJ49)</f>
        <v>0</v>
      </c>
      <c r="AT46" s="8">
        <f>SUM(AK47:AK49)</f>
        <v>0</v>
      </c>
      <c r="AU46" s="8">
        <f>SUM(AL47:AL49)</f>
        <v>2037.1805999999999</v>
      </c>
    </row>
    <row r="47" spans="1:62">
      <c r="A47" s="1" t="s">
        <v>26</v>
      </c>
      <c r="B47" s="1" t="s">
        <v>658</v>
      </c>
      <c r="C47" s="1" t="s">
        <v>243</v>
      </c>
      <c r="D47" s="1" t="s">
        <v>434</v>
      </c>
      <c r="E47" s="1" t="s">
        <v>638</v>
      </c>
      <c r="F47" s="5">
        <f>'Rozpočet - vybrané sloupce'!AN35</f>
        <v>5.46</v>
      </c>
      <c r="G47" s="5">
        <f>'Rozpočet - vybrané sloupce'!AS35</f>
        <v>350.01</v>
      </c>
      <c r="H47" s="5">
        <f>F47*AO47</f>
        <v>0</v>
      </c>
      <c r="I47" s="5">
        <f>F47*AP47</f>
        <v>1911.0545999999999</v>
      </c>
      <c r="J47" s="5">
        <f>F47*G47</f>
        <v>1911.0545999999999</v>
      </c>
      <c r="K47" s="5">
        <v>0</v>
      </c>
      <c r="L47" s="5">
        <f>F47*K47</f>
        <v>0</v>
      </c>
      <c r="M47" s="38" t="s">
        <v>653</v>
      </c>
      <c r="Z47" s="22">
        <f>IF(AQ47="5",BJ47,0)</f>
        <v>0</v>
      </c>
      <c r="AB47" s="22">
        <f>IF(AQ47="1",BH47,0)</f>
        <v>0</v>
      </c>
      <c r="AC47" s="22">
        <f>IF(AQ47="1",BI47,0)</f>
        <v>1911.0545999999999</v>
      </c>
      <c r="AD47" s="22">
        <f>IF(AQ47="7",BH47,0)</f>
        <v>0</v>
      </c>
      <c r="AE47" s="22">
        <f>IF(AQ47="7",BI47,0)</f>
        <v>0</v>
      </c>
      <c r="AF47" s="22">
        <f>IF(AQ47="2",BH47,0)</f>
        <v>0</v>
      </c>
      <c r="AG47" s="22">
        <f>IF(AQ47="2",BI47,0)</f>
        <v>0</v>
      </c>
      <c r="AH47" s="22">
        <f>IF(AQ47="0",BJ47,0)</f>
        <v>0</v>
      </c>
      <c r="AI47" s="34" t="s">
        <v>658</v>
      </c>
      <c r="AJ47" s="5">
        <f>IF(AN47=0,J47,0)</f>
        <v>0</v>
      </c>
      <c r="AK47" s="5">
        <f>IF(AN47=15,J47,0)</f>
        <v>0</v>
      </c>
      <c r="AL47" s="5">
        <f>IF(AN47=21,J47,0)</f>
        <v>1911.0545999999999</v>
      </c>
      <c r="AN47" s="22">
        <v>21</v>
      </c>
      <c r="AO47" s="22">
        <f>G47*0</f>
        <v>0</v>
      </c>
      <c r="AP47" s="22">
        <f>G47*(1-0)</f>
        <v>350.01</v>
      </c>
      <c r="AQ47" s="38" t="s">
        <v>7</v>
      </c>
      <c r="AV47" s="22">
        <f>AW47+AX47</f>
        <v>1911.0545999999999</v>
      </c>
      <c r="AW47" s="22">
        <f>F47*AO47</f>
        <v>0</v>
      </c>
      <c r="AX47" s="22">
        <f>F47*AP47</f>
        <v>1911.0545999999999</v>
      </c>
      <c r="AY47" s="77" t="s">
        <v>895</v>
      </c>
      <c r="AZ47" s="77" t="s">
        <v>919</v>
      </c>
      <c r="BA47" s="34" t="s">
        <v>934</v>
      </c>
      <c r="BC47" s="22">
        <f>AW47+AX47</f>
        <v>1911.0545999999999</v>
      </c>
      <c r="BD47" s="22">
        <f>G47/(100-BE47)*100</f>
        <v>350.01</v>
      </c>
      <c r="BE47" s="22">
        <v>0</v>
      </c>
      <c r="BF47" s="22">
        <f>L47</f>
        <v>0</v>
      </c>
      <c r="BH47" s="5">
        <f>F47*AO47</f>
        <v>0</v>
      </c>
      <c r="BI47" s="5">
        <f>F47*AP47</f>
        <v>1911.0545999999999</v>
      </c>
      <c r="BJ47" s="5">
        <f>F47*G47</f>
        <v>1911.0545999999999</v>
      </c>
    </row>
    <row r="48" spans="1:62" ht="25.7" customHeight="1">
      <c r="C48" s="67" t="s">
        <v>672</v>
      </c>
      <c r="D48" s="167" t="s">
        <v>693</v>
      </c>
      <c r="E48" s="168"/>
      <c r="F48" s="168"/>
      <c r="G48" s="168"/>
      <c r="H48" s="168"/>
      <c r="I48" s="168"/>
      <c r="J48" s="168"/>
      <c r="K48" s="168"/>
      <c r="L48" s="168"/>
      <c r="M48" s="168"/>
    </row>
    <row r="49" spans="1:62">
      <c r="A49" s="1" t="s">
        <v>27</v>
      </c>
      <c r="B49" s="1" t="s">
        <v>658</v>
      </c>
      <c r="C49" s="1" t="s">
        <v>244</v>
      </c>
      <c r="D49" s="1" t="s">
        <v>435</v>
      </c>
      <c r="E49" s="1" t="s">
        <v>638</v>
      </c>
      <c r="F49" s="5">
        <f>'Rozpočet - vybrané sloupce'!AN36</f>
        <v>5.46</v>
      </c>
      <c r="G49" s="5">
        <f>'Rozpočet - vybrané sloupce'!AS36</f>
        <v>23.1</v>
      </c>
      <c r="H49" s="5">
        <f>F49*AO49</f>
        <v>0</v>
      </c>
      <c r="I49" s="5">
        <f>F49*AP49</f>
        <v>126.126</v>
      </c>
      <c r="J49" s="5">
        <f>F49*G49</f>
        <v>126.126</v>
      </c>
      <c r="K49" s="5">
        <v>0</v>
      </c>
      <c r="L49" s="5">
        <f>F49*K49</f>
        <v>0</v>
      </c>
      <c r="M49" s="38" t="s">
        <v>653</v>
      </c>
      <c r="Z49" s="22">
        <f>IF(AQ49="5",BJ49,0)</f>
        <v>0</v>
      </c>
      <c r="AB49" s="22">
        <f>IF(AQ49="1",BH49,0)</f>
        <v>0</v>
      </c>
      <c r="AC49" s="22">
        <f>IF(AQ49="1",BI49,0)</f>
        <v>126.126</v>
      </c>
      <c r="AD49" s="22">
        <f>IF(AQ49="7",BH49,0)</f>
        <v>0</v>
      </c>
      <c r="AE49" s="22">
        <f>IF(AQ49="7",BI49,0)</f>
        <v>0</v>
      </c>
      <c r="AF49" s="22">
        <f>IF(AQ49="2",BH49,0)</f>
        <v>0</v>
      </c>
      <c r="AG49" s="22">
        <f>IF(AQ49="2",BI49,0)</f>
        <v>0</v>
      </c>
      <c r="AH49" s="22">
        <f>IF(AQ49="0",BJ49,0)</f>
        <v>0</v>
      </c>
      <c r="AI49" s="34" t="s">
        <v>658</v>
      </c>
      <c r="AJ49" s="5">
        <f>IF(AN49=0,J49,0)</f>
        <v>0</v>
      </c>
      <c r="AK49" s="5">
        <f>IF(AN49=15,J49,0)</f>
        <v>0</v>
      </c>
      <c r="AL49" s="5">
        <f>IF(AN49=21,J49,0)</f>
        <v>126.126</v>
      </c>
      <c r="AN49" s="22">
        <v>21</v>
      </c>
      <c r="AO49" s="22">
        <f>G49*0</f>
        <v>0</v>
      </c>
      <c r="AP49" s="22">
        <f>G49*(1-0)</f>
        <v>23.1</v>
      </c>
      <c r="AQ49" s="38" t="s">
        <v>7</v>
      </c>
      <c r="AV49" s="22">
        <f>AW49+AX49</f>
        <v>126.126</v>
      </c>
      <c r="AW49" s="22">
        <f>F49*AO49</f>
        <v>0</v>
      </c>
      <c r="AX49" s="22">
        <f>F49*AP49</f>
        <v>126.126</v>
      </c>
      <c r="AY49" s="77" t="s">
        <v>895</v>
      </c>
      <c r="AZ49" s="77" t="s">
        <v>919</v>
      </c>
      <c r="BA49" s="34" t="s">
        <v>934</v>
      </c>
      <c r="BC49" s="22">
        <f>AW49+AX49</f>
        <v>126.126</v>
      </c>
      <c r="BD49" s="22">
        <f>G49/(100-BE49)*100</f>
        <v>23.1</v>
      </c>
      <c r="BE49" s="22">
        <v>0</v>
      </c>
      <c r="BF49" s="22">
        <f>L49</f>
        <v>0</v>
      </c>
      <c r="BH49" s="5">
        <f>F49*AO49</f>
        <v>0</v>
      </c>
      <c r="BI49" s="5">
        <f>F49*AP49</f>
        <v>126.126</v>
      </c>
      <c r="BJ49" s="5">
        <f>F49*G49</f>
        <v>126.126</v>
      </c>
    </row>
    <row r="50" spans="1:62">
      <c r="C50" s="67" t="s">
        <v>672</v>
      </c>
      <c r="D50" s="167" t="s">
        <v>690</v>
      </c>
      <c r="E50" s="168"/>
      <c r="F50" s="168"/>
      <c r="G50" s="168"/>
      <c r="H50" s="168"/>
      <c r="I50" s="168"/>
      <c r="J50" s="168"/>
      <c r="K50" s="168"/>
      <c r="L50" s="168"/>
      <c r="M50" s="168"/>
    </row>
    <row r="51" spans="1:62">
      <c r="A51" s="59"/>
      <c r="B51" s="28" t="s">
        <v>658</v>
      </c>
      <c r="C51" s="28" t="s">
        <v>22</v>
      </c>
      <c r="D51" s="28" t="s">
        <v>436</v>
      </c>
      <c r="E51" s="59" t="s">
        <v>6</v>
      </c>
      <c r="F51" s="59" t="s">
        <v>6</v>
      </c>
      <c r="G51" s="59" t="s">
        <v>6</v>
      </c>
      <c r="H51" s="8">
        <f>SUM(H52:H57)</f>
        <v>0</v>
      </c>
      <c r="I51" s="8">
        <f>SUM(I52:I57)</f>
        <v>42557.447820000001</v>
      </c>
      <c r="J51" s="8">
        <f>SUM(J52:J57)</f>
        <v>42557.447820000001</v>
      </c>
      <c r="K51" s="34"/>
      <c r="L51" s="8">
        <f>SUM(L52:L57)</f>
        <v>0</v>
      </c>
      <c r="M51" s="34"/>
      <c r="AI51" s="34" t="s">
        <v>658</v>
      </c>
      <c r="AS51" s="8">
        <f>SUM(AJ52:AJ57)</f>
        <v>0</v>
      </c>
      <c r="AT51" s="8">
        <f>SUM(AK52:AK57)</f>
        <v>0</v>
      </c>
      <c r="AU51" s="8">
        <f>SUM(AL52:AL57)</f>
        <v>42557.447820000001</v>
      </c>
    </row>
    <row r="52" spans="1:62">
      <c r="A52" s="1" t="s">
        <v>28</v>
      </c>
      <c r="B52" s="1" t="s">
        <v>658</v>
      </c>
      <c r="C52" s="1" t="s">
        <v>245</v>
      </c>
      <c r="D52" s="1" t="s">
        <v>437</v>
      </c>
      <c r="E52" s="1" t="s">
        <v>638</v>
      </c>
      <c r="F52" s="5">
        <f>'Rozpočet - vybrané sloupce'!AN38</f>
        <v>160.58000000000001</v>
      </c>
      <c r="G52" s="5">
        <f>'Rozpočet - vybrané sloupce'!AS38</f>
        <v>44.4</v>
      </c>
      <c r="H52" s="5">
        <f t="shared" ref="H52:H57" si="0">F52*AO52</f>
        <v>0</v>
      </c>
      <c r="I52" s="5">
        <f t="shared" ref="I52:I57" si="1">F52*AP52</f>
        <v>7129.7520000000004</v>
      </c>
      <c r="J52" s="5">
        <f t="shared" ref="J52:J57" si="2">F52*G52</f>
        <v>7129.7520000000004</v>
      </c>
      <c r="K52" s="5">
        <v>0</v>
      </c>
      <c r="L52" s="5">
        <f t="shared" ref="L52:L57" si="3">F52*K52</f>
        <v>0</v>
      </c>
      <c r="M52" s="38" t="s">
        <v>653</v>
      </c>
      <c r="Z52" s="22">
        <f t="shared" ref="Z52:Z57" si="4">IF(AQ52="5",BJ52,0)</f>
        <v>0</v>
      </c>
      <c r="AB52" s="22">
        <f t="shared" ref="AB52:AB57" si="5">IF(AQ52="1",BH52,0)</f>
        <v>0</v>
      </c>
      <c r="AC52" s="22">
        <f t="shared" ref="AC52:AC57" si="6">IF(AQ52="1",BI52,0)</f>
        <v>7129.7520000000004</v>
      </c>
      <c r="AD52" s="22">
        <f t="shared" ref="AD52:AD57" si="7">IF(AQ52="7",BH52,0)</f>
        <v>0</v>
      </c>
      <c r="AE52" s="22">
        <f t="shared" ref="AE52:AE57" si="8">IF(AQ52="7",BI52,0)</f>
        <v>0</v>
      </c>
      <c r="AF52" s="22">
        <f t="shared" ref="AF52:AF57" si="9">IF(AQ52="2",BH52,0)</f>
        <v>0</v>
      </c>
      <c r="AG52" s="22">
        <f t="shared" ref="AG52:AG57" si="10">IF(AQ52="2",BI52,0)</f>
        <v>0</v>
      </c>
      <c r="AH52" s="22">
        <f t="shared" ref="AH52:AH57" si="11">IF(AQ52="0",BJ52,0)</f>
        <v>0</v>
      </c>
      <c r="AI52" s="34" t="s">
        <v>658</v>
      </c>
      <c r="AJ52" s="5">
        <f t="shared" ref="AJ52:AJ57" si="12">IF(AN52=0,J52,0)</f>
        <v>0</v>
      </c>
      <c r="AK52" s="5">
        <f t="shared" ref="AK52:AK57" si="13">IF(AN52=15,J52,0)</f>
        <v>0</v>
      </c>
      <c r="AL52" s="5">
        <f t="shared" ref="AL52:AL57" si="14">IF(AN52=21,J52,0)</f>
        <v>7129.7520000000004</v>
      </c>
      <c r="AN52" s="22">
        <v>21</v>
      </c>
      <c r="AO52" s="22">
        <f t="shared" ref="AO52:AO57" si="15">G52*0</f>
        <v>0</v>
      </c>
      <c r="AP52" s="22">
        <f t="shared" ref="AP52:AP57" si="16">G52*(1-0)</f>
        <v>44.4</v>
      </c>
      <c r="AQ52" s="38" t="s">
        <v>7</v>
      </c>
      <c r="AV52" s="22">
        <f t="shared" ref="AV52:AV57" si="17">AW52+AX52</f>
        <v>7129.7520000000004</v>
      </c>
      <c r="AW52" s="22">
        <f t="shared" ref="AW52:AW57" si="18">F52*AO52</f>
        <v>0</v>
      </c>
      <c r="AX52" s="22">
        <f t="shared" ref="AX52:AX57" si="19">F52*AP52</f>
        <v>7129.7520000000004</v>
      </c>
      <c r="AY52" s="77" t="s">
        <v>896</v>
      </c>
      <c r="AZ52" s="77" t="s">
        <v>919</v>
      </c>
      <c r="BA52" s="34" t="s">
        <v>934</v>
      </c>
      <c r="BC52" s="22">
        <f t="shared" ref="BC52:BC57" si="20">AW52+AX52</f>
        <v>7129.7520000000004</v>
      </c>
      <c r="BD52" s="22">
        <f t="shared" ref="BD52:BD57" si="21">G52/(100-BE52)*100</f>
        <v>44.4</v>
      </c>
      <c r="BE52" s="22">
        <v>0</v>
      </c>
      <c r="BF52" s="22">
        <f t="shared" ref="BF52:BF57" si="22">L52</f>
        <v>0</v>
      </c>
      <c r="BH52" s="5">
        <f t="shared" ref="BH52:BH57" si="23">F52*AO52</f>
        <v>0</v>
      </c>
      <c r="BI52" s="5">
        <f t="shared" ref="BI52:BI57" si="24">F52*AP52</f>
        <v>7129.7520000000004</v>
      </c>
      <c r="BJ52" s="5">
        <f t="shared" ref="BJ52:BJ57" si="25">F52*G52</f>
        <v>7129.7520000000004</v>
      </c>
    </row>
    <row r="53" spans="1:62">
      <c r="A53" s="1" t="s">
        <v>29</v>
      </c>
      <c r="B53" s="1" t="s">
        <v>658</v>
      </c>
      <c r="C53" s="1" t="s">
        <v>246</v>
      </c>
      <c r="D53" s="1" t="s">
        <v>438</v>
      </c>
      <c r="E53" s="1" t="s">
        <v>638</v>
      </c>
      <c r="F53" s="5">
        <f>'Rozpočet - vybrané sloupce'!AN39</f>
        <v>80.290000000000006</v>
      </c>
      <c r="G53" s="5">
        <f>'Rozpočet - vybrané sloupce'!AS39</f>
        <v>256</v>
      </c>
      <c r="H53" s="5">
        <f t="shared" si="0"/>
        <v>0</v>
      </c>
      <c r="I53" s="5">
        <f t="shared" si="1"/>
        <v>20554.240000000002</v>
      </c>
      <c r="J53" s="5">
        <f t="shared" si="2"/>
        <v>20554.240000000002</v>
      </c>
      <c r="K53" s="5">
        <v>0</v>
      </c>
      <c r="L53" s="5">
        <f t="shared" si="3"/>
        <v>0</v>
      </c>
      <c r="M53" s="38" t="s">
        <v>653</v>
      </c>
      <c r="Z53" s="22">
        <f t="shared" si="4"/>
        <v>0</v>
      </c>
      <c r="AB53" s="22">
        <f t="shared" si="5"/>
        <v>0</v>
      </c>
      <c r="AC53" s="22">
        <f t="shared" si="6"/>
        <v>20554.240000000002</v>
      </c>
      <c r="AD53" s="22">
        <f t="shared" si="7"/>
        <v>0</v>
      </c>
      <c r="AE53" s="22">
        <f t="shared" si="8"/>
        <v>0</v>
      </c>
      <c r="AF53" s="22">
        <f t="shared" si="9"/>
        <v>0</v>
      </c>
      <c r="AG53" s="22">
        <f t="shared" si="10"/>
        <v>0</v>
      </c>
      <c r="AH53" s="22">
        <f t="shared" si="11"/>
        <v>0</v>
      </c>
      <c r="AI53" s="34" t="s">
        <v>658</v>
      </c>
      <c r="AJ53" s="5">
        <f t="shared" si="12"/>
        <v>0</v>
      </c>
      <c r="AK53" s="5">
        <f t="shared" si="13"/>
        <v>0</v>
      </c>
      <c r="AL53" s="5">
        <f t="shared" si="14"/>
        <v>20554.240000000002</v>
      </c>
      <c r="AN53" s="22">
        <v>21</v>
      </c>
      <c r="AO53" s="22">
        <f t="shared" si="15"/>
        <v>0</v>
      </c>
      <c r="AP53" s="22">
        <f t="shared" si="16"/>
        <v>256</v>
      </c>
      <c r="AQ53" s="38" t="s">
        <v>7</v>
      </c>
      <c r="AV53" s="22">
        <f t="shared" si="17"/>
        <v>20554.240000000002</v>
      </c>
      <c r="AW53" s="22">
        <f t="shared" si="18"/>
        <v>0</v>
      </c>
      <c r="AX53" s="22">
        <f t="shared" si="19"/>
        <v>20554.240000000002</v>
      </c>
      <c r="AY53" s="77" t="s">
        <v>896</v>
      </c>
      <c r="AZ53" s="77" t="s">
        <v>919</v>
      </c>
      <c r="BA53" s="34" t="s">
        <v>934</v>
      </c>
      <c r="BC53" s="22">
        <f t="shared" si="20"/>
        <v>20554.240000000002</v>
      </c>
      <c r="BD53" s="22">
        <f t="shared" si="21"/>
        <v>256</v>
      </c>
      <c r="BE53" s="22">
        <v>0</v>
      </c>
      <c r="BF53" s="22">
        <f t="shared" si="22"/>
        <v>0</v>
      </c>
      <c r="BH53" s="5">
        <f t="shared" si="23"/>
        <v>0</v>
      </c>
      <c r="BI53" s="5">
        <f t="shared" si="24"/>
        <v>20554.240000000002</v>
      </c>
      <c r="BJ53" s="5">
        <f t="shared" si="25"/>
        <v>20554.240000000002</v>
      </c>
    </row>
    <row r="54" spans="1:62">
      <c r="A54" s="1" t="s">
        <v>30</v>
      </c>
      <c r="B54" s="1" t="s">
        <v>658</v>
      </c>
      <c r="C54" s="1" t="s">
        <v>247</v>
      </c>
      <c r="D54" s="1" t="s">
        <v>439</v>
      </c>
      <c r="E54" s="1" t="s">
        <v>637</v>
      </c>
      <c r="F54" s="5">
        <f>'Rozpočet - vybrané sloupce'!AN40</f>
        <v>9</v>
      </c>
      <c r="G54" s="5">
        <f>'Rozpočet - vybrané sloupce'!AS40</f>
        <v>407.99</v>
      </c>
      <c r="H54" s="5">
        <f t="shared" si="0"/>
        <v>0</v>
      </c>
      <c r="I54" s="5">
        <f t="shared" si="1"/>
        <v>3671.91</v>
      </c>
      <c r="J54" s="5">
        <f t="shared" si="2"/>
        <v>3671.91</v>
      </c>
      <c r="K54" s="5">
        <v>0</v>
      </c>
      <c r="L54" s="5">
        <f t="shared" si="3"/>
        <v>0</v>
      </c>
      <c r="M54" s="38" t="s">
        <v>653</v>
      </c>
      <c r="Z54" s="22">
        <f t="shared" si="4"/>
        <v>0</v>
      </c>
      <c r="AB54" s="22">
        <f t="shared" si="5"/>
        <v>0</v>
      </c>
      <c r="AC54" s="22">
        <f t="shared" si="6"/>
        <v>3671.91</v>
      </c>
      <c r="AD54" s="22">
        <f t="shared" si="7"/>
        <v>0</v>
      </c>
      <c r="AE54" s="22">
        <f t="shared" si="8"/>
        <v>0</v>
      </c>
      <c r="AF54" s="22">
        <f t="shared" si="9"/>
        <v>0</v>
      </c>
      <c r="AG54" s="22">
        <f t="shared" si="10"/>
        <v>0</v>
      </c>
      <c r="AH54" s="22">
        <f t="shared" si="11"/>
        <v>0</v>
      </c>
      <c r="AI54" s="34" t="s">
        <v>658</v>
      </c>
      <c r="AJ54" s="5">
        <f t="shared" si="12"/>
        <v>0</v>
      </c>
      <c r="AK54" s="5">
        <f t="shared" si="13"/>
        <v>0</v>
      </c>
      <c r="AL54" s="5">
        <f t="shared" si="14"/>
        <v>3671.91</v>
      </c>
      <c r="AN54" s="22">
        <v>21</v>
      </c>
      <c r="AO54" s="22">
        <f t="shared" si="15"/>
        <v>0</v>
      </c>
      <c r="AP54" s="22">
        <f t="shared" si="16"/>
        <v>407.99</v>
      </c>
      <c r="AQ54" s="38" t="s">
        <v>7</v>
      </c>
      <c r="AV54" s="22">
        <f t="shared" si="17"/>
        <v>3671.91</v>
      </c>
      <c r="AW54" s="22">
        <f t="shared" si="18"/>
        <v>0</v>
      </c>
      <c r="AX54" s="22">
        <f t="shared" si="19"/>
        <v>3671.91</v>
      </c>
      <c r="AY54" s="77" t="s">
        <v>896</v>
      </c>
      <c r="AZ54" s="77" t="s">
        <v>919</v>
      </c>
      <c r="BA54" s="34" t="s">
        <v>934</v>
      </c>
      <c r="BC54" s="22">
        <f t="shared" si="20"/>
        <v>3671.91</v>
      </c>
      <c r="BD54" s="22">
        <f t="shared" si="21"/>
        <v>407.99</v>
      </c>
      <c r="BE54" s="22">
        <v>0</v>
      </c>
      <c r="BF54" s="22">
        <f t="shared" si="22"/>
        <v>0</v>
      </c>
      <c r="BH54" s="5">
        <f t="shared" si="23"/>
        <v>0</v>
      </c>
      <c r="BI54" s="5">
        <f t="shared" si="24"/>
        <v>3671.91</v>
      </c>
      <c r="BJ54" s="5">
        <f t="shared" si="25"/>
        <v>3671.91</v>
      </c>
    </row>
    <row r="55" spans="1:62">
      <c r="A55" s="1" t="s">
        <v>31</v>
      </c>
      <c r="B55" s="1" t="s">
        <v>658</v>
      </c>
      <c r="C55" s="1" t="s">
        <v>248</v>
      </c>
      <c r="D55" s="1" t="s">
        <v>440</v>
      </c>
      <c r="E55" s="1" t="s">
        <v>637</v>
      </c>
      <c r="F55" s="5">
        <f>'Rozpočet - vybrané sloupce'!AN41</f>
        <v>9</v>
      </c>
      <c r="G55" s="5">
        <f>'Rozpočet - vybrané sloupce'!AS41</f>
        <v>178</v>
      </c>
      <c r="H55" s="5">
        <f t="shared" si="0"/>
        <v>0</v>
      </c>
      <c r="I55" s="5">
        <f t="shared" si="1"/>
        <v>1602</v>
      </c>
      <c r="J55" s="5">
        <f t="shared" si="2"/>
        <v>1602</v>
      </c>
      <c r="K55" s="5">
        <v>0</v>
      </c>
      <c r="L55" s="5">
        <f t="shared" si="3"/>
        <v>0</v>
      </c>
      <c r="M55" s="38" t="s">
        <v>653</v>
      </c>
      <c r="Z55" s="22">
        <f t="shared" si="4"/>
        <v>0</v>
      </c>
      <c r="AB55" s="22">
        <f t="shared" si="5"/>
        <v>0</v>
      </c>
      <c r="AC55" s="22">
        <f t="shared" si="6"/>
        <v>1602</v>
      </c>
      <c r="AD55" s="22">
        <f t="shared" si="7"/>
        <v>0</v>
      </c>
      <c r="AE55" s="22">
        <f t="shared" si="8"/>
        <v>0</v>
      </c>
      <c r="AF55" s="22">
        <f t="shared" si="9"/>
        <v>0</v>
      </c>
      <c r="AG55" s="22">
        <f t="shared" si="10"/>
        <v>0</v>
      </c>
      <c r="AH55" s="22">
        <f t="shared" si="11"/>
        <v>0</v>
      </c>
      <c r="AI55" s="34" t="s">
        <v>658</v>
      </c>
      <c r="AJ55" s="5">
        <f t="shared" si="12"/>
        <v>0</v>
      </c>
      <c r="AK55" s="5">
        <f t="shared" si="13"/>
        <v>0</v>
      </c>
      <c r="AL55" s="5">
        <f t="shared" si="14"/>
        <v>1602</v>
      </c>
      <c r="AN55" s="22">
        <v>21</v>
      </c>
      <c r="AO55" s="22">
        <f t="shared" si="15"/>
        <v>0</v>
      </c>
      <c r="AP55" s="22">
        <f t="shared" si="16"/>
        <v>178</v>
      </c>
      <c r="AQ55" s="38" t="s">
        <v>7</v>
      </c>
      <c r="AV55" s="22">
        <f t="shared" si="17"/>
        <v>1602</v>
      </c>
      <c r="AW55" s="22">
        <f t="shared" si="18"/>
        <v>0</v>
      </c>
      <c r="AX55" s="22">
        <f t="shared" si="19"/>
        <v>1602</v>
      </c>
      <c r="AY55" s="77" t="s">
        <v>896</v>
      </c>
      <c r="AZ55" s="77" t="s">
        <v>919</v>
      </c>
      <c r="BA55" s="34" t="s">
        <v>934</v>
      </c>
      <c r="BC55" s="22">
        <f t="shared" si="20"/>
        <v>1602</v>
      </c>
      <c r="BD55" s="22">
        <f t="shared" si="21"/>
        <v>178</v>
      </c>
      <c r="BE55" s="22">
        <v>0</v>
      </c>
      <c r="BF55" s="22">
        <f t="shared" si="22"/>
        <v>0</v>
      </c>
      <c r="BH55" s="5">
        <f t="shared" si="23"/>
        <v>0</v>
      </c>
      <c r="BI55" s="5">
        <f t="shared" si="24"/>
        <v>1602</v>
      </c>
      <c r="BJ55" s="5">
        <f t="shared" si="25"/>
        <v>1602</v>
      </c>
    </row>
    <row r="56" spans="1:62">
      <c r="A56" s="1" t="s">
        <v>32</v>
      </c>
      <c r="B56" s="1" t="s">
        <v>658</v>
      </c>
      <c r="C56" s="1" t="s">
        <v>249</v>
      </c>
      <c r="D56" s="1" t="s">
        <v>441</v>
      </c>
      <c r="E56" s="1" t="s">
        <v>637</v>
      </c>
      <c r="F56" s="5">
        <f>'Rozpočet - vybrané sloupce'!AN42</f>
        <v>9</v>
      </c>
      <c r="G56" s="5">
        <f>'Rozpočet - vybrané sloupce'!AS42</f>
        <v>1039.01</v>
      </c>
      <c r="H56" s="5">
        <f t="shared" si="0"/>
        <v>0</v>
      </c>
      <c r="I56" s="5">
        <f t="shared" si="1"/>
        <v>9351.09</v>
      </c>
      <c r="J56" s="5">
        <f t="shared" si="2"/>
        <v>9351.09</v>
      </c>
      <c r="K56" s="5">
        <v>0</v>
      </c>
      <c r="L56" s="5">
        <f t="shared" si="3"/>
        <v>0</v>
      </c>
      <c r="M56" s="38" t="s">
        <v>653</v>
      </c>
      <c r="Z56" s="22">
        <f t="shared" si="4"/>
        <v>0</v>
      </c>
      <c r="AB56" s="22">
        <f t="shared" si="5"/>
        <v>0</v>
      </c>
      <c r="AC56" s="22">
        <f t="shared" si="6"/>
        <v>9351.09</v>
      </c>
      <c r="AD56" s="22">
        <f t="shared" si="7"/>
        <v>0</v>
      </c>
      <c r="AE56" s="22">
        <f t="shared" si="8"/>
        <v>0</v>
      </c>
      <c r="AF56" s="22">
        <f t="shared" si="9"/>
        <v>0</v>
      </c>
      <c r="AG56" s="22">
        <f t="shared" si="10"/>
        <v>0</v>
      </c>
      <c r="AH56" s="22">
        <f t="shared" si="11"/>
        <v>0</v>
      </c>
      <c r="AI56" s="34" t="s">
        <v>658</v>
      </c>
      <c r="AJ56" s="5">
        <f t="shared" si="12"/>
        <v>0</v>
      </c>
      <c r="AK56" s="5">
        <f t="shared" si="13"/>
        <v>0</v>
      </c>
      <c r="AL56" s="5">
        <f t="shared" si="14"/>
        <v>9351.09</v>
      </c>
      <c r="AN56" s="22">
        <v>21</v>
      </c>
      <c r="AO56" s="22">
        <f t="shared" si="15"/>
        <v>0</v>
      </c>
      <c r="AP56" s="22">
        <f t="shared" si="16"/>
        <v>1039.01</v>
      </c>
      <c r="AQ56" s="38" t="s">
        <v>7</v>
      </c>
      <c r="AV56" s="22">
        <f t="shared" si="17"/>
        <v>9351.09</v>
      </c>
      <c r="AW56" s="22">
        <f t="shared" si="18"/>
        <v>0</v>
      </c>
      <c r="AX56" s="22">
        <f t="shared" si="19"/>
        <v>9351.09</v>
      </c>
      <c r="AY56" s="77" t="s">
        <v>896</v>
      </c>
      <c r="AZ56" s="77" t="s">
        <v>919</v>
      </c>
      <c r="BA56" s="34" t="s">
        <v>934</v>
      </c>
      <c r="BC56" s="22">
        <f t="shared" si="20"/>
        <v>9351.09</v>
      </c>
      <c r="BD56" s="22">
        <f t="shared" si="21"/>
        <v>1039.01</v>
      </c>
      <c r="BE56" s="22">
        <v>0</v>
      </c>
      <c r="BF56" s="22">
        <f t="shared" si="22"/>
        <v>0</v>
      </c>
      <c r="BH56" s="5">
        <f t="shared" si="23"/>
        <v>0</v>
      </c>
      <c r="BI56" s="5">
        <f t="shared" si="24"/>
        <v>9351.09</v>
      </c>
      <c r="BJ56" s="5">
        <f t="shared" si="25"/>
        <v>9351.09</v>
      </c>
    </row>
    <row r="57" spans="1:62">
      <c r="A57" s="1" t="s">
        <v>33</v>
      </c>
      <c r="B57" s="1" t="s">
        <v>658</v>
      </c>
      <c r="C57" s="1" t="s">
        <v>250</v>
      </c>
      <c r="D57" s="1" t="s">
        <v>442</v>
      </c>
      <c r="E57" s="1" t="s">
        <v>639</v>
      </c>
      <c r="F57" s="5">
        <f>'Rozpočet - vybrané sloupce'!AN43</f>
        <v>0.98199999999999998</v>
      </c>
      <c r="G57" s="5">
        <f>'Rozpočet - vybrané sloupce'!AS43</f>
        <v>253.01</v>
      </c>
      <c r="H57" s="5">
        <f t="shared" si="0"/>
        <v>0</v>
      </c>
      <c r="I57" s="5">
        <f t="shared" si="1"/>
        <v>248.45581999999999</v>
      </c>
      <c r="J57" s="5">
        <f t="shared" si="2"/>
        <v>248.45581999999999</v>
      </c>
      <c r="K57" s="5">
        <v>0</v>
      </c>
      <c r="L57" s="5">
        <f t="shared" si="3"/>
        <v>0</v>
      </c>
      <c r="M57" s="38" t="s">
        <v>653</v>
      </c>
      <c r="Z57" s="22">
        <f t="shared" si="4"/>
        <v>0</v>
      </c>
      <c r="AB57" s="22">
        <f t="shared" si="5"/>
        <v>0</v>
      </c>
      <c r="AC57" s="22">
        <f t="shared" si="6"/>
        <v>248.45581999999999</v>
      </c>
      <c r="AD57" s="22">
        <f t="shared" si="7"/>
        <v>0</v>
      </c>
      <c r="AE57" s="22">
        <f t="shared" si="8"/>
        <v>0</v>
      </c>
      <c r="AF57" s="22">
        <f t="shared" si="9"/>
        <v>0</v>
      </c>
      <c r="AG57" s="22">
        <f t="shared" si="10"/>
        <v>0</v>
      </c>
      <c r="AH57" s="22">
        <f t="shared" si="11"/>
        <v>0</v>
      </c>
      <c r="AI57" s="34" t="s">
        <v>658</v>
      </c>
      <c r="AJ57" s="5">
        <f t="shared" si="12"/>
        <v>0</v>
      </c>
      <c r="AK57" s="5">
        <f t="shared" si="13"/>
        <v>0</v>
      </c>
      <c r="AL57" s="5">
        <f t="shared" si="14"/>
        <v>248.45581999999999</v>
      </c>
      <c r="AN57" s="22">
        <v>21</v>
      </c>
      <c r="AO57" s="22">
        <f t="shared" si="15"/>
        <v>0</v>
      </c>
      <c r="AP57" s="22">
        <f t="shared" si="16"/>
        <v>253.01</v>
      </c>
      <c r="AQ57" s="38" t="s">
        <v>7</v>
      </c>
      <c r="AV57" s="22">
        <f t="shared" si="17"/>
        <v>248.45581999999999</v>
      </c>
      <c r="AW57" s="22">
        <f t="shared" si="18"/>
        <v>0</v>
      </c>
      <c r="AX57" s="22">
        <f t="shared" si="19"/>
        <v>248.45581999999999</v>
      </c>
      <c r="AY57" s="77" t="s">
        <v>896</v>
      </c>
      <c r="AZ57" s="77" t="s">
        <v>919</v>
      </c>
      <c r="BA57" s="34" t="s">
        <v>934</v>
      </c>
      <c r="BC57" s="22">
        <f t="shared" si="20"/>
        <v>248.45581999999999</v>
      </c>
      <c r="BD57" s="22">
        <f t="shared" si="21"/>
        <v>253.01</v>
      </c>
      <c r="BE57" s="22">
        <v>0</v>
      </c>
      <c r="BF57" s="22">
        <f t="shared" si="22"/>
        <v>0</v>
      </c>
      <c r="BH57" s="5">
        <f t="shared" si="23"/>
        <v>0</v>
      </c>
      <c r="BI57" s="5">
        <f t="shared" si="24"/>
        <v>248.45581999999999</v>
      </c>
      <c r="BJ57" s="5">
        <f t="shared" si="25"/>
        <v>248.45581999999999</v>
      </c>
    </row>
    <row r="58" spans="1:62">
      <c r="A58" s="59"/>
      <c r="B58" s="28" t="s">
        <v>658</v>
      </c>
      <c r="C58" s="28" t="s">
        <v>23</v>
      </c>
      <c r="D58" s="28" t="s">
        <v>443</v>
      </c>
      <c r="E58" s="59" t="s">
        <v>6</v>
      </c>
      <c r="F58" s="59" t="s">
        <v>6</v>
      </c>
      <c r="G58" s="59" t="s">
        <v>6</v>
      </c>
      <c r="H58" s="8">
        <f>SUM(H59:H63)</f>
        <v>76290.790399999998</v>
      </c>
      <c r="I58" s="8">
        <f>SUM(I59:I63)</f>
        <v>96854.911999999997</v>
      </c>
      <c r="J58" s="8">
        <f>SUM(J59:J63)</f>
        <v>173145.70240000001</v>
      </c>
      <c r="K58" s="34"/>
      <c r="L58" s="8">
        <f>SUM(L59:L63)</f>
        <v>221.21600000000001</v>
      </c>
      <c r="M58" s="34"/>
      <c r="AI58" s="34" t="s">
        <v>658</v>
      </c>
      <c r="AS58" s="8">
        <f>SUM(AJ59:AJ63)</f>
        <v>0</v>
      </c>
      <c r="AT58" s="8">
        <f>SUM(AK59:AK63)</f>
        <v>0</v>
      </c>
      <c r="AU58" s="8">
        <f>SUM(AL59:AL63)</f>
        <v>173145.70240000001</v>
      </c>
    </row>
    <row r="59" spans="1:62">
      <c r="A59" s="1" t="s">
        <v>34</v>
      </c>
      <c r="B59" s="1" t="s">
        <v>658</v>
      </c>
      <c r="C59" s="1" t="s">
        <v>251</v>
      </c>
      <c r="D59" s="1" t="s">
        <v>444</v>
      </c>
      <c r="E59" s="1" t="s">
        <v>637</v>
      </c>
      <c r="F59" s="5">
        <f>'Rozpočet - vybrané sloupce'!AN45</f>
        <v>9</v>
      </c>
      <c r="G59" s="5">
        <f>'Rozpočet - vybrané sloupce'!AS45</f>
        <v>265.5</v>
      </c>
      <c r="H59" s="5">
        <f>F59*AO59</f>
        <v>0</v>
      </c>
      <c r="I59" s="5">
        <f>F59*AP59</f>
        <v>2389.5</v>
      </c>
      <c r="J59" s="5">
        <f>F59*G59</f>
        <v>2389.5</v>
      </c>
      <c r="K59" s="5">
        <v>0</v>
      </c>
      <c r="L59" s="5">
        <f>F59*K59</f>
        <v>0</v>
      </c>
      <c r="M59" s="38" t="s">
        <v>653</v>
      </c>
      <c r="Z59" s="22">
        <f>IF(AQ59="5",BJ59,0)</f>
        <v>0</v>
      </c>
      <c r="AB59" s="22">
        <f>IF(AQ59="1",BH59,0)</f>
        <v>0</v>
      </c>
      <c r="AC59" s="22">
        <f>IF(AQ59="1",BI59,0)</f>
        <v>2389.5</v>
      </c>
      <c r="AD59" s="22">
        <f>IF(AQ59="7",BH59,0)</f>
        <v>0</v>
      </c>
      <c r="AE59" s="22">
        <f>IF(AQ59="7",BI59,0)</f>
        <v>0</v>
      </c>
      <c r="AF59" s="22">
        <f>IF(AQ59="2",BH59,0)</f>
        <v>0</v>
      </c>
      <c r="AG59" s="22">
        <f>IF(AQ59="2",BI59,0)</f>
        <v>0</v>
      </c>
      <c r="AH59" s="22">
        <f>IF(AQ59="0",BJ59,0)</f>
        <v>0</v>
      </c>
      <c r="AI59" s="34" t="s">
        <v>658</v>
      </c>
      <c r="AJ59" s="5">
        <f>IF(AN59=0,J59,0)</f>
        <v>0</v>
      </c>
      <c r="AK59" s="5">
        <f>IF(AN59=15,J59,0)</f>
        <v>0</v>
      </c>
      <c r="AL59" s="5">
        <f>IF(AN59=21,J59,0)</f>
        <v>2389.5</v>
      </c>
      <c r="AN59" s="22">
        <v>21</v>
      </c>
      <c r="AO59" s="22">
        <f>G59*0</f>
        <v>0</v>
      </c>
      <c r="AP59" s="22">
        <f>G59*(1-0)</f>
        <v>265.5</v>
      </c>
      <c r="AQ59" s="38" t="s">
        <v>7</v>
      </c>
      <c r="AV59" s="22">
        <f>AW59+AX59</f>
        <v>2389.5</v>
      </c>
      <c r="AW59" s="22">
        <f>F59*AO59</f>
        <v>0</v>
      </c>
      <c r="AX59" s="22">
        <f>F59*AP59</f>
        <v>2389.5</v>
      </c>
      <c r="AY59" s="77" t="s">
        <v>897</v>
      </c>
      <c r="AZ59" s="77" t="s">
        <v>919</v>
      </c>
      <c r="BA59" s="34" t="s">
        <v>934</v>
      </c>
      <c r="BC59" s="22">
        <f>AW59+AX59</f>
        <v>2389.5</v>
      </c>
      <c r="BD59" s="22">
        <f>G59/(100-BE59)*100</f>
        <v>265.5</v>
      </c>
      <c r="BE59" s="22">
        <v>0</v>
      </c>
      <c r="BF59" s="22">
        <f>L59</f>
        <v>0</v>
      </c>
      <c r="BH59" s="5">
        <f>F59*AO59</f>
        <v>0</v>
      </c>
      <c r="BI59" s="5">
        <f>F59*AP59</f>
        <v>2389.5</v>
      </c>
      <c r="BJ59" s="5">
        <f>F59*G59</f>
        <v>2389.5</v>
      </c>
    </row>
    <row r="60" spans="1:62">
      <c r="A60" s="1" t="s">
        <v>35</v>
      </c>
      <c r="B60" s="1" t="s">
        <v>658</v>
      </c>
      <c r="C60" s="1" t="s">
        <v>252</v>
      </c>
      <c r="D60" s="1" t="s">
        <v>445</v>
      </c>
      <c r="E60" s="1" t="s">
        <v>638</v>
      </c>
      <c r="F60" s="5">
        <f>'Rozpočet - vybrané sloupce'!AN46</f>
        <v>201.2</v>
      </c>
      <c r="G60" s="5">
        <f>'Rozpočet - vybrané sloupce'!AS46</f>
        <v>469.51</v>
      </c>
      <c r="H60" s="5">
        <f>F60*AO60</f>
        <v>0</v>
      </c>
      <c r="I60" s="5">
        <f>F60*AP60</f>
        <v>94465.411999999997</v>
      </c>
      <c r="J60" s="5">
        <f>F60*G60</f>
        <v>94465.411999999997</v>
      </c>
      <c r="K60" s="5">
        <v>0</v>
      </c>
      <c r="L60" s="5">
        <f>F60*K60</f>
        <v>0</v>
      </c>
      <c r="M60" s="38" t="s">
        <v>653</v>
      </c>
      <c r="Z60" s="22">
        <f>IF(AQ60="5",BJ60,0)</f>
        <v>0</v>
      </c>
      <c r="AB60" s="22">
        <f>IF(AQ60="1",BH60,0)</f>
        <v>0</v>
      </c>
      <c r="AC60" s="22">
        <f>IF(AQ60="1",BI60,0)</f>
        <v>94465.411999999997</v>
      </c>
      <c r="AD60" s="22">
        <f>IF(AQ60="7",BH60,0)</f>
        <v>0</v>
      </c>
      <c r="AE60" s="22">
        <f>IF(AQ60="7",BI60,0)</f>
        <v>0</v>
      </c>
      <c r="AF60" s="22">
        <f>IF(AQ60="2",BH60,0)</f>
        <v>0</v>
      </c>
      <c r="AG60" s="22">
        <f>IF(AQ60="2",BI60,0)</f>
        <v>0</v>
      </c>
      <c r="AH60" s="22">
        <f>IF(AQ60="0",BJ60,0)</f>
        <v>0</v>
      </c>
      <c r="AI60" s="34" t="s">
        <v>658</v>
      </c>
      <c r="AJ60" s="5">
        <f>IF(AN60=0,J60,0)</f>
        <v>0</v>
      </c>
      <c r="AK60" s="5">
        <f>IF(AN60=15,J60,0)</f>
        <v>0</v>
      </c>
      <c r="AL60" s="5">
        <f>IF(AN60=21,J60,0)</f>
        <v>94465.411999999997</v>
      </c>
      <c r="AN60" s="22">
        <v>21</v>
      </c>
      <c r="AO60" s="22">
        <f>G60*0</f>
        <v>0</v>
      </c>
      <c r="AP60" s="22">
        <f>G60*(1-0)</f>
        <v>469.51</v>
      </c>
      <c r="AQ60" s="38" t="s">
        <v>7</v>
      </c>
      <c r="AV60" s="22">
        <f>AW60+AX60</f>
        <v>94465.411999999997</v>
      </c>
      <c r="AW60" s="22">
        <f>F60*AO60</f>
        <v>0</v>
      </c>
      <c r="AX60" s="22">
        <f>F60*AP60</f>
        <v>94465.411999999997</v>
      </c>
      <c r="AY60" s="77" t="s">
        <v>897</v>
      </c>
      <c r="AZ60" s="77" t="s">
        <v>919</v>
      </c>
      <c r="BA60" s="34" t="s">
        <v>934</v>
      </c>
      <c r="BC60" s="22">
        <f>AW60+AX60</f>
        <v>94465.411999999997</v>
      </c>
      <c r="BD60" s="22">
        <f>G60/(100-BE60)*100</f>
        <v>469.51</v>
      </c>
      <c r="BE60" s="22">
        <v>0</v>
      </c>
      <c r="BF60" s="22">
        <f>L60</f>
        <v>0</v>
      </c>
      <c r="BH60" s="5">
        <f>F60*AO60</f>
        <v>0</v>
      </c>
      <c r="BI60" s="5">
        <f>F60*AP60</f>
        <v>94465.411999999997</v>
      </c>
      <c r="BJ60" s="5">
        <f>F60*G60</f>
        <v>94465.411999999997</v>
      </c>
    </row>
    <row r="61" spans="1:62">
      <c r="C61" s="67" t="s">
        <v>672</v>
      </c>
      <c r="D61" s="167" t="s">
        <v>701</v>
      </c>
      <c r="E61" s="168"/>
      <c r="F61" s="168"/>
      <c r="G61" s="168"/>
      <c r="H61" s="168"/>
      <c r="I61" s="168"/>
      <c r="J61" s="168"/>
      <c r="K61" s="168"/>
      <c r="L61" s="168"/>
      <c r="M61" s="168"/>
    </row>
    <row r="62" spans="1:62">
      <c r="A62" s="2" t="s">
        <v>36</v>
      </c>
      <c r="B62" s="2" t="s">
        <v>658</v>
      </c>
      <c r="C62" s="2" t="s">
        <v>253</v>
      </c>
      <c r="D62" s="2" t="s">
        <v>446</v>
      </c>
      <c r="E62" s="2" t="s">
        <v>639</v>
      </c>
      <c r="F62" s="6">
        <f>'Rozpočet - vybrané sloupce'!AN47</f>
        <v>5.12</v>
      </c>
      <c r="G62" s="6">
        <f>'Rozpočet - vybrané sloupce'!AS47</f>
        <v>550.41999999999996</v>
      </c>
      <c r="H62" s="6">
        <f>F62*AO62</f>
        <v>2818.1504</v>
      </c>
      <c r="I62" s="6">
        <f>F62*AP62</f>
        <v>0</v>
      </c>
      <c r="J62" s="6">
        <f>F62*G62</f>
        <v>2818.1504</v>
      </c>
      <c r="K62" s="6">
        <v>1</v>
      </c>
      <c r="L62" s="6">
        <f>F62*K62</f>
        <v>5.12</v>
      </c>
      <c r="M62" s="39" t="s">
        <v>653</v>
      </c>
      <c r="Z62" s="22">
        <f>IF(AQ62="5",BJ62,0)</f>
        <v>0</v>
      </c>
      <c r="AB62" s="22">
        <f>IF(AQ62="1",BH62,0)</f>
        <v>2818.1504</v>
      </c>
      <c r="AC62" s="22">
        <f>IF(AQ62="1",BI62,0)</f>
        <v>0</v>
      </c>
      <c r="AD62" s="22">
        <f>IF(AQ62="7",BH62,0)</f>
        <v>0</v>
      </c>
      <c r="AE62" s="22">
        <f>IF(AQ62="7",BI62,0)</f>
        <v>0</v>
      </c>
      <c r="AF62" s="22">
        <f>IF(AQ62="2",BH62,0)</f>
        <v>0</v>
      </c>
      <c r="AG62" s="22">
        <f>IF(AQ62="2",BI62,0)</f>
        <v>0</v>
      </c>
      <c r="AH62" s="22">
        <f>IF(AQ62="0",BJ62,0)</f>
        <v>0</v>
      </c>
      <c r="AI62" s="34" t="s">
        <v>658</v>
      </c>
      <c r="AJ62" s="6">
        <f>IF(AN62=0,J62,0)</f>
        <v>0</v>
      </c>
      <c r="AK62" s="6">
        <f>IF(AN62=15,J62,0)</f>
        <v>0</v>
      </c>
      <c r="AL62" s="6">
        <f>IF(AN62=21,J62,0)</f>
        <v>2818.1504</v>
      </c>
      <c r="AN62" s="22">
        <v>21</v>
      </c>
      <c r="AO62" s="22">
        <f>G62*1</f>
        <v>550.41999999999996</v>
      </c>
      <c r="AP62" s="22">
        <f>G62*(1-1)</f>
        <v>0</v>
      </c>
      <c r="AQ62" s="39" t="s">
        <v>7</v>
      </c>
      <c r="AV62" s="22">
        <f>AW62+AX62</f>
        <v>2818.1504</v>
      </c>
      <c r="AW62" s="22">
        <f>F62*AO62</f>
        <v>2818.1504</v>
      </c>
      <c r="AX62" s="22">
        <f>F62*AP62</f>
        <v>0</v>
      </c>
      <c r="AY62" s="77" t="s">
        <v>897</v>
      </c>
      <c r="AZ62" s="77" t="s">
        <v>919</v>
      </c>
      <c r="BA62" s="34" t="s">
        <v>934</v>
      </c>
      <c r="BC62" s="22">
        <f>AW62+AX62</f>
        <v>2818.1504</v>
      </c>
      <c r="BD62" s="22">
        <f>G62/(100-BE62)*100</f>
        <v>550.41999999999996</v>
      </c>
      <c r="BE62" s="22">
        <v>0</v>
      </c>
      <c r="BF62" s="22">
        <f>L62</f>
        <v>5.12</v>
      </c>
      <c r="BH62" s="6">
        <f>F62*AO62</f>
        <v>2818.1504</v>
      </c>
      <c r="BI62" s="6">
        <f>F62*AP62</f>
        <v>0</v>
      </c>
      <c r="BJ62" s="6">
        <f>F62*G62</f>
        <v>2818.1504</v>
      </c>
    </row>
    <row r="63" spans="1:62">
      <c r="A63" s="2" t="s">
        <v>37</v>
      </c>
      <c r="B63" s="2" t="s">
        <v>658</v>
      </c>
      <c r="C63" s="2" t="s">
        <v>254</v>
      </c>
      <c r="D63" s="2" t="s">
        <v>447</v>
      </c>
      <c r="E63" s="2" t="s">
        <v>639</v>
      </c>
      <c r="F63" s="6">
        <f>'Rozpočet - vybrané sloupce'!AN48</f>
        <v>216.096</v>
      </c>
      <c r="G63" s="6">
        <f>'Rozpočet - vybrané sloupce'!AS48</f>
        <v>340</v>
      </c>
      <c r="H63" s="6">
        <f>F63*AO63</f>
        <v>73472.639999999999</v>
      </c>
      <c r="I63" s="6">
        <f>F63*AP63</f>
        <v>0</v>
      </c>
      <c r="J63" s="6">
        <f>F63*G63</f>
        <v>73472.639999999999</v>
      </c>
      <c r="K63" s="6">
        <v>1</v>
      </c>
      <c r="L63" s="6">
        <f>F63*K63</f>
        <v>216.096</v>
      </c>
      <c r="M63" s="39" t="s">
        <v>653</v>
      </c>
      <c r="Z63" s="22">
        <f>IF(AQ63="5",BJ63,0)</f>
        <v>0</v>
      </c>
      <c r="AB63" s="22">
        <f>IF(AQ63="1",BH63,0)</f>
        <v>73472.639999999999</v>
      </c>
      <c r="AC63" s="22">
        <f>IF(AQ63="1",BI63,0)</f>
        <v>0</v>
      </c>
      <c r="AD63" s="22">
        <f>IF(AQ63="7",BH63,0)</f>
        <v>0</v>
      </c>
      <c r="AE63" s="22">
        <f>IF(AQ63="7",BI63,0)</f>
        <v>0</v>
      </c>
      <c r="AF63" s="22">
        <f>IF(AQ63="2",BH63,0)</f>
        <v>0</v>
      </c>
      <c r="AG63" s="22">
        <f>IF(AQ63="2",BI63,0)</f>
        <v>0</v>
      </c>
      <c r="AH63" s="22">
        <f>IF(AQ63="0",BJ63,0)</f>
        <v>0</v>
      </c>
      <c r="AI63" s="34" t="s">
        <v>658</v>
      </c>
      <c r="AJ63" s="6">
        <f>IF(AN63=0,J63,0)</f>
        <v>0</v>
      </c>
      <c r="AK63" s="6">
        <f>IF(AN63=15,J63,0)</f>
        <v>0</v>
      </c>
      <c r="AL63" s="6">
        <f>IF(AN63=21,J63,0)</f>
        <v>73472.639999999999</v>
      </c>
      <c r="AN63" s="22">
        <v>21</v>
      </c>
      <c r="AO63" s="22">
        <f>G63*1</f>
        <v>340</v>
      </c>
      <c r="AP63" s="22">
        <f>G63*(1-1)</f>
        <v>0</v>
      </c>
      <c r="AQ63" s="39" t="s">
        <v>7</v>
      </c>
      <c r="AV63" s="22">
        <f>AW63+AX63</f>
        <v>73472.639999999999</v>
      </c>
      <c r="AW63" s="22">
        <f>F63*AO63</f>
        <v>73472.639999999999</v>
      </c>
      <c r="AX63" s="22">
        <f>F63*AP63</f>
        <v>0</v>
      </c>
      <c r="AY63" s="77" t="s">
        <v>897</v>
      </c>
      <c r="AZ63" s="77" t="s">
        <v>919</v>
      </c>
      <c r="BA63" s="34" t="s">
        <v>934</v>
      </c>
      <c r="BC63" s="22">
        <f>AW63+AX63</f>
        <v>73472.639999999999</v>
      </c>
      <c r="BD63" s="22">
        <f>G63/(100-BE63)*100</f>
        <v>340</v>
      </c>
      <c r="BE63" s="22">
        <v>0</v>
      </c>
      <c r="BF63" s="22">
        <f>L63</f>
        <v>216.096</v>
      </c>
      <c r="BH63" s="6">
        <f>F63*AO63</f>
        <v>73472.639999999999</v>
      </c>
      <c r="BI63" s="6">
        <f>F63*AP63</f>
        <v>0</v>
      </c>
      <c r="BJ63" s="6">
        <f>F63*G63</f>
        <v>73472.639999999999</v>
      </c>
    </row>
    <row r="64" spans="1:62">
      <c r="A64" s="59"/>
      <c r="B64" s="28" t="s">
        <v>658</v>
      </c>
      <c r="C64" s="28" t="s">
        <v>255</v>
      </c>
      <c r="D64" s="28" t="s">
        <v>448</v>
      </c>
      <c r="E64" s="59" t="s">
        <v>6</v>
      </c>
      <c r="F64" s="59" t="s">
        <v>6</v>
      </c>
      <c r="G64" s="59" t="s">
        <v>6</v>
      </c>
      <c r="H64" s="8">
        <f>SUM(H65:H65)</f>
        <v>0</v>
      </c>
      <c r="I64" s="8">
        <f>SUM(I65:I65)</f>
        <v>11711.055</v>
      </c>
      <c r="J64" s="8">
        <f>SUM(J65:J65)</f>
        <v>11711.055</v>
      </c>
      <c r="K64" s="34"/>
      <c r="L64" s="8">
        <f>SUM(L65:L65)</f>
        <v>4.8285</v>
      </c>
      <c r="M64" s="34"/>
      <c r="AI64" s="34" t="s">
        <v>658</v>
      </c>
      <c r="AS64" s="8">
        <f>SUM(AJ65:AJ65)</f>
        <v>0</v>
      </c>
      <c r="AT64" s="8">
        <f>SUM(AK65:AK65)</f>
        <v>0</v>
      </c>
      <c r="AU64" s="8">
        <f>SUM(AL65:AL65)</f>
        <v>11711.055</v>
      </c>
    </row>
    <row r="65" spans="1:62">
      <c r="A65" s="1" t="s">
        <v>38</v>
      </c>
      <c r="B65" s="1" t="s">
        <v>658</v>
      </c>
      <c r="C65" s="1" t="s">
        <v>256</v>
      </c>
      <c r="D65" s="1" t="s">
        <v>449</v>
      </c>
      <c r="E65" s="1" t="s">
        <v>636</v>
      </c>
      <c r="F65" s="5">
        <f>'Rozpočet - vybrané sloupce'!AN50</f>
        <v>55.5</v>
      </c>
      <c r="G65" s="5">
        <f>'Rozpočet - vybrané sloupce'!AS50</f>
        <v>211.01</v>
      </c>
      <c r="H65" s="5">
        <f>F65*AO65</f>
        <v>0</v>
      </c>
      <c r="I65" s="5">
        <f>F65*AP65</f>
        <v>11711.055</v>
      </c>
      <c r="J65" s="5">
        <f>F65*G65</f>
        <v>11711.055</v>
      </c>
      <c r="K65" s="5">
        <v>8.6999999999999994E-2</v>
      </c>
      <c r="L65" s="5">
        <f>F65*K65</f>
        <v>4.8285</v>
      </c>
      <c r="M65" s="38" t="s">
        <v>653</v>
      </c>
      <c r="Z65" s="22">
        <f>IF(AQ65="5",BJ65,0)</f>
        <v>0</v>
      </c>
      <c r="AB65" s="22">
        <f>IF(AQ65="1",BH65,0)</f>
        <v>0</v>
      </c>
      <c r="AC65" s="22">
        <f>IF(AQ65="1",BI65,0)</f>
        <v>0</v>
      </c>
      <c r="AD65" s="22">
        <f>IF(AQ65="7",BH65,0)</f>
        <v>0</v>
      </c>
      <c r="AE65" s="22">
        <f>IF(AQ65="7",BI65,0)</f>
        <v>11711.055</v>
      </c>
      <c r="AF65" s="22">
        <f>IF(AQ65="2",BH65,0)</f>
        <v>0</v>
      </c>
      <c r="AG65" s="22">
        <f>IF(AQ65="2",BI65,0)</f>
        <v>0</v>
      </c>
      <c r="AH65" s="22">
        <f>IF(AQ65="0",BJ65,0)</f>
        <v>0</v>
      </c>
      <c r="AI65" s="34" t="s">
        <v>658</v>
      </c>
      <c r="AJ65" s="5">
        <f>IF(AN65=0,J65,0)</f>
        <v>0</v>
      </c>
      <c r="AK65" s="5">
        <f>IF(AN65=15,J65,0)</f>
        <v>0</v>
      </c>
      <c r="AL65" s="5">
        <f>IF(AN65=21,J65,0)</f>
        <v>11711.055</v>
      </c>
      <c r="AN65" s="22">
        <v>21</v>
      </c>
      <c r="AO65" s="22">
        <f>G65*0</f>
        <v>0</v>
      </c>
      <c r="AP65" s="22">
        <f>G65*(1-0)</f>
        <v>211.01</v>
      </c>
      <c r="AQ65" s="38" t="s">
        <v>13</v>
      </c>
      <c r="AV65" s="22">
        <f>AW65+AX65</f>
        <v>11711.055</v>
      </c>
      <c r="AW65" s="22">
        <f>F65*AO65</f>
        <v>0</v>
      </c>
      <c r="AX65" s="22">
        <f>F65*AP65</f>
        <v>11711.055</v>
      </c>
      <c r="AY65" s="77" t="s">
        <v>898</v>
      </c>
      <c r="AZ65" s="77" t="s">
        <v>920</v>
      </c>
      <c r="BA65" s="34" t="s">
        <v>934</v>
      </c>
      <c r="BC65" s="22">
        <f>AW65+AX65</f>
        <v>11711.055</v>
      </c>
      <c r="BD65" s="22">
        <f>G65/(100-BE65)*100</f>
        <v>211.01000000000002</v>
      </c>
      <c r="BE65" s="22">
        <v>0</v>
      </c>
      <c r="BF65" s="22">
        <f>L65</f>
        <v>4.8285</v>
      </c>
      <c r="BH65" s="5">
        <f>F65*AO65</f>
        <v>0</v>
      </c>
      <c r="BI65" s="5">
        <f>F65*AP65</f>
        <v>11711.055</v>
      </c>
      <c r="BJ65" s="5">
        <f>F65*G65</f>
        <v>11711.055</v>
      </c>
    </row>
    <row r="66" spans="1:62">
      <c r="C66" s="67" t="s">
        <v>672</v>
      </c>
      <c r="D66" s="167" t="s">
        <v>708</v>
      </c>
      <c r="E66" s="168"/>
      <c r="F66" s="168"/>
      <c r="G66" s="168"/>
      <c r="H66" s="168"/>
      <c r="I66" s="168"/>
      <c r="J66" s="168"/>
      <c r="K66" s="168"/>
      <c r="L66" s="168"/>
      <c r="M66" s="168"/>
    </row>
    <row r="67" spans="1:62">
      <c r="A67" s="59"/>
      <c r="B67" s="28" t="s">
        <v>658</v>
      </c>
      <c r="C67" s="28" t="s">
        <v>24</v>
      </c>
      <c r="D67" s="28" t="s">
        <v>450</v>
      </c>
      <c r="E67" s="59" t="s">
        <v>6</v>
      </c>
      <c r="F67" s="59" t="s">
        <v>6</v>
      </c>
      <c r="G67" s="59" t="s">
        <v>6</v>
      </c>
      <c r="H67" s="8">
        <f>SUM(H68:H135)</f>
        <v>89800.668600000019</v>
      </c>
      <c r="I67" s="8">
        <f>SUM(I68:I135)</f>
        <v>526838.47</v>
      </c>
      <c r="J67" s="8">
        <f>SUM(J68:J135)</f>
        <v>616639.13860000006</v>
      </c>
      <c r="K67" s="34"/>
      <c r="L67" s="8">
        <f>SUM(L68:L135)</f>
        <v>86.966289999999987</v>
      </c>
      <c r="M67" s="34"/>
      <c r="AI67" s="34" t="s">
        <v>658</v>
      </c>
      <c r="AS67" s="8">
        <f>SUM(AJ68:AJ135)</f>
        <v>0</v>
      </c>
      <c r="AT67" s="8">
        <f>SUM(AK68:AK135)</f>
        <v>0</v>
      </c>
      <c r="AU67" s="8">
        <f>SUM(AL68:AL135)</f>
        <v>616639.13860000006</v>
      </c>
    </row>
    <row r="68" spans="1:62">
      <c r="A68" s="1" t="s">
        <v>39</v>
      </c>
      <c r="B68" s="1" t="s">
        <v>658</v>
      </c>
      <c r="C68" s="1" t="s">
        <v>257</v>
      </c>
      <c r="D68" s="1" t="s">
        <v>451</v>
      </c>
      <c r="E68" s="1" t="s">
        <v>636</v>
      </c>
      <c r="F68" s="5">
        <f>'Rozpočet - vybrané sloupce'!AN52</f>
        <v>2155</v>
      </c>
      <c r="G68" s="5">
        <f>'Rozpočet - vybrané sloupce'!AS52</f>
        <v>23.2</v>
      </c>
      <c r="H68" s="5">
        <f>F68*AO68</f>
        <v>3534.2</v>
      </c>
      <c r="I68" s="5">
        <f>F68*AP68</f>
        <v>46461.799999999996</v>
      </c>
      <c r="J68" s="5">
        <f>F68*G68</f>
        <v>49996</v>
      </c>
      <c r="K68" s="5">
        <v>0</v>
      </c>
      <c r="L68" s="5">
        <f>F68*K68</f>
        <v>0</v>
      </c>
      <c r="M68" s="38" t="s">
        <v>653</v>
      </c>
      <c r="Z68" s="22">
        <f>IF(AQ68="5",BJ68,0)</f>
        <v>0</v>
      </c>
      <c r="AB68" s="22">
        <f>IF(AQ68="1",BH68,0)</f>
        <v>3534.2</v>
      </c>
      <c r="AC68" s="22">
        <f>IF(AQ68="1",BI68,0)</f>
        <v>46461.799999999996</v>
      </c>
      <c r="AD68" s="22">
        <f>IF(AQ68="7",BH68,0)</f>
        <v>0</v>
      </c>
      <c r="AE68" s="22">
        <f>IF(AQ68="7",BI68,0)</f>
        <v>0</v>
      </c>
      <c r="AF68" s="22">
        <f>IF(AQ68="2",BH68,0)</f>
        <v>0</v>
      </c>
      <c r="AG68" s="22">
        <f>IF(AQ68="2",BI68,0)</f>
        <v>0</v>
      </c>
      <c r="AH68" s="22">
        <f>IF(AQ68="0",BJ68,0)</f>
        <v>0</v>
      </c>
      <c r="AI68" s="34" t="s">
        <v>658</v>
      </c>
      <c r="AJ68" s="5">
        <f>IF(AN68=0,J68,0)</f>
        <v>0</v>
      </c>
      <c r="AK68" s="5">
        <f>IF(AN68=15,J68,0)</f>
        <v>0</v>
      </c>
      <c r="AL68" s="5">
        <f>IF(AN68=21,J68,0)</f>
        <v>49996</v>
      </c>
      <c r="AN68" s="22">
        <v>21</v>
      </c>
      <c r="AO68" s="22">
        <f>G68*0.0706896551724138</f>
        <v>1.64</v>
      </c>
      <c r="AP68" s="22">
        <f>G68*(1-0.0706896551724138)</f>
        <v>21.56</v>
      </c>
      <c r="AQ68" s="38" t="s">
        <v>7</v>
      </c>
      <c r="AV68" s="22">
        <f>AW68+AX68</f>
        <v>49995.999999999993</v>
      </c>
      <c r="AW68" s="22">
        <f>F68*AO68</f>
        <v>3534.2</v>
      </c>
      <c r="AX68" s="22">
        <f>F68*AP68</f>
        <v>46461.799999999996</v>
      </c>
      <c r="AY68" s="77" t="s">
        <v>899</v>
      </c>
      <c r="AZ68" s="77" t="s">
        <v>919</v>
      </c>
      <c r="BA68" s="34" t="s">
        <v>934</v>
      </c>
      <c r="BC68" s="22">
        <f>AW68+AX68</f>
        <v>49995.999999999993</v>
      </c>
      <c r="BD68" s="22">
        <f>G68/(100-BE68)*100</f>
        <v>23.2</v>
      </c>
      <c r="BE68" s="22">
        <v>0</v>
      </c>
      <c r="BF68" s="22">
        <f>L68</f>
        <v>0</v>
      </c>
      <c r="BH68" s="5">
        <f>F68*AO68</f>
        <v>3534.2</v>
      </c>
      <c r="BI68" s="5">
        <f>F68*AP68</f>
        <v>46461.799999999996</v>
      </c>
      <c r="BJ68" s="5">
        <f>F68*G68</f>
        <v>49996</v>
      </c>
    </row>
    <row r="69" spans="1:62">
      <c r="C69" s="67" t="s">
        <v>672</v>
      </c>
      <c r="D69" s="167" t="s">
        <v>711</v>
      </c>
      <c r="E69" s="168"/>
      <c r="F69" s="168"/>
      <c r="G69" s="168"/>
      <c r="H69" s="168"/>
      <c r="I69" s="168"/>
      <c r="J69" s="168"/>
      <c r="K69" s="168"/>
      <c r="L69" s="168"/>
      <c r="M69" s="168"/>
    </row>
    <row r="70" spans="1:62">
      <c r="A70" s="1" t="s">
        <v>40</v>
      </c>
      <c r="B70" s="1" t="s">
        <v>658</v>
      </c>
      <c r="C70" s="1" t="s">
        <v>258</v>
      </c>
      <c r="D70" s="1" t="s">
        <v>452</v>
      </c>
      <c r="E70" s="1" t="s">
        <v>636</v>
      </c>
      <c r="F70" s="5">
        <f>'Rozpočet - vybrané sloupce'!AN53</f>
        <v>2914</v>
      </c>
      <c r="G70" s="5">
        <f>'Rozpočet - vybrané sloupce'!AS53</f>
        <v>4.51</v>
      </c>
      <c r="H70" s="5">
        <f>F70*AO70</f>
        <v>87.420000000000016</v>
      </c>
      <c r="I70" s="5">
        <f>F70*AP70</f>
        <v>13054.72</v>
      </c>
      <c r="J70" s="5">
        <f>F70*G70</f>
        <v>13142.14</v>
      </c>
      <c r="K70" s="5">
        <v>0</v>
      </c>
      <c r="L70" s="5">
        <f>F70*K70</f>
        <v>0</v>
      </c>
      <c r="M70" s="38" t="s">
        <v>653</v>
      </c>
      <c r="Z70" s="22">
        <f>IF(AQ70="5",BJ70,0)</f>
        <v>0</v>
      </c>
      <c r="AB70" s="22">
        <f>IF(AQ70="1",BH70,0)</f>
        <v>87.420000000000016</v>
      </c>
      <c r="AC70" s="22">
        <f>IF(AQ70="1",BI70,0)</f>
        <v>13054.72</v>
      </c>
      <c r="AD70" s="22">
        <f>IF(AQ70="7",BH70,0)</f>
        <v>0</v>
      </c>
      <c r="AE70" s="22">
        <f>IF(AQ70="7",BI70,0)</f>
        <v>0</v>
      </c>
      <c r="AF70" s="22">
        <f>IF(AQ70="2",BH70,0)</f>
        <v>0</v>
      </c>
      <c r="AG70" s="22">
        <f>IF(AQ70="2",BI70,0)</f>
        <v>0</v>
      </c>
      <c r="AH70" s="22">
        <f>IF(AQ70="0",BJ70,0)</f>
        <v>0</v>
      </c>
      <c r="AI70" s="34" t="s">
        <v>658</v>
      </c>
      <c r="AJ70" s="5">
        <f>IF(AN70=0,J70,0)</f>
        <v>0</v>
      </c>
      <c r="AK70" s="5">
        <f>IF(AN70=15,J70,0)</f>
        <v>0</v>
      </c>
      <c r="AL70" s="5">
        <f>IF(AN70=21,J70,0)</f>
        <v>13142.14</v>
      </c>
      <c r="AN70" s="22">
        <v>21</v>
      </c>
      <c r="AO70" s="22">
        <f>G70*0.00665188470066519</f>
        <v>3.0000000000000006E-2</v>
      </c>
      <c r="AP70" s="22">
        <f>G70*(1-0.00665188470066519)</f>
        <v>4.4799999999999995</v>
      </c>
      <c r="AQ70" s="38" t="s">
        <v>7</v>
      </c>
      <c r="AV70" s="22">
        <f>AW70+AX70</f>
        <v>13142.14</v>
      </c>
      <c r="AW70" s="22">
        <f>F70*AO70</f>
        <v>87.420000000000016</v>
      </c>
      <c r="AX70" s="22">
        <f>F70*AP70</f>
        <v>13054.72</v>
      </c>
      <c r="AY70" s="77" t="s">
        <v>899</v>
      </c>
      <c r="AZ70" s="77" t="s">
        <v>919</v>
      </c>
      <c r="BA70" s="34" t="s">
        <v>934</v>
      </c>
      <c r="BC70" s="22">
        <f>AW70+AX70</f>
        <v>13142.14</v>
      </c>
      <c r="BD70" s="22">
        <f>G70/(100-BE70)*100</f>
        <v>4.51</v>
      </c>
      <c r="BE70" s="22">
        <v>0</v>
      </c>
      <c r="BF70" s="22">
        <f>L70</f>
        <v>0</v>
      </c>
      <c r="BH70" s="5">
        <f>F70*AO70</f>
        <v>87.420000000000016</v>
      </c>
      <c r="BI70" s="5">
        <f>F70*AP70</f>
        <v>13054.72</v>
      </c>
      <c r="BJ70" s="5">
        <f>F70*G70</f>
        <v>13142.14</v>
      </c>
    </row>
    <row r="71" spans="1:62">
      <c r="A71" s="1" t="s">
        <v>41</v>
      </c>
      <c r="B71" s="1" t="s">
        <v>658</v>
      </c>
      <c r="C71" s="1" t="s">
        <v>259</v>
      </c>
      <c r="D71" s="1" t="s">
        <v>453</v>
      </c>
      <c r="E71" s="1" t="s">
        <v>636</v>
      </c>
      <c r="F71" s="5">
        <f>'Rozpočet - vybrané sloupce'!AN54</f>
        <v>2914</v>
      </c>
      <c r="G71" s="5">
        <f>'Rozpočet - vybrané sloupce'!AS54</f>
        <v>4.8499999999999996</v>
      </c>
      <c r="H71" s="5">
        <f>F71*AO71</f>
        <v>0</v>
      </c>
      <c r="I71" s="5">
        <f>F71*AP71</f>
        <v>14132.9</v>
      </c>
      <c r="J71" s="5">
        <f>F71*G71</f>
        <v>14132.9</v>
      </c>
      <c r="K71" s="5">
        <v>0</v>
      </c>
      <c r="L71" s="5">
        <f>F71*K71</f>
        <v>0</v>
      </c>
      <c r="M71" s="38" t="s">
        <v>653</v>
      </c>
      <c r="Z71" s="22">
        <f>IF(AQ71="5",BJ71,0)</f>
        <v>0</v>
      </c>
      <c r="AB71" s="22">
        <f>IF(AQ71="1",BH71,0)</f>
        <v>0</v>
      </c>
      <c r="AC71" s="22">
        <f>IF(AQ71="1",BI71,0)</f>
        <v>14132.9</v>
      </c>
      <c r="AD71" s="22">
        <f>IF(AQ71="7",BH71,0)</f>
        <v>0</v>
      </c>
      <c r="AE71" s="22">
        <f>IF(AQ71="7",BI71,0)</f>
        <v>0</v>
      </c>
      <c r="AF71" s="22">
        <f>IF(AQ71="2",BH71,0)</f>
        <v>0</v>
      </c>
      <c r="AG71" s="22">
        <f>IF(AQ71="2",BI71,0)</f>
        <v>0</v>
      </c>
      <c r="AH71" s="22">
        <f>IF(AQ71="0",BJ71,0)</f>
        <v>0</v>
      </c>
      <c r="AI71" s="34" t="s">
        <v>658</v>
      </c>
      <c r="AJ71" s="5">
        <f>IF(AN71=0,J71,0)</f>
        <v>0</v>
      </c>
      <c r="AK71" s="5">
        <f>IF(AN71=15,J71,0)</f>
        <v>0</v>
      </c>
      <c r="AL71" s="5">
        <f>IF(AN71=21,J71,0)</f>
        <v>14132.9</v>
      </c>
      <c r="AN71" s="22">
        <v>21</v>
      </c>
      <c r="AO71" s="22">
        <f>G71*0</f>
        <v>0</v>
      </c>
      <c r="AP71" s="22">
        <f>G71*(1-0)</f>
        <v>4.8499999999999996</v>
      </c>
      <c r="AQ71" s="38" t="s">
        <v>7</v>
      </c>
      <c r="AV71" s="22">
        <f>AW71+AX71</f>
        <v>14132.9</v>
      </c>
      <c r="AW71" s="22">
        <f>F71*AO71</f>
        <v>0</v>
      </c>
      <c r="AX71" s="22">
        <f>F71*AP71</f>
        <v>14132.9</v>
      </c>
      <c r="AY71" s="77" t="s">
        <v>899</v>
      </c>
      <c r="AZ71" s="77" t="s">
        <v>919</v>
      </c>
      <c r="BA71" s="34" t="s">
        <v>934</v>
      </c>
      <c r="BC71" s="22">
        <f>AW71+AX71</f>
        <v>14132.9</v>
      </c>
      <c r="BD71" s="22">
        <f>G71/(100-BE71)*100</f>
        <v>4.8499999999999996</v>
      </c>
      <c r="BE71" s="22">
        <v>0</v>
      </c>
      <c r="BF71" s="22">
        <f>L71</f>
        <v>0</v>
      </c>
      <c r="BH71" s="5">
        <f>F71*AO71</f>
        <v>0</v>
      </c>
      <c r="BI71" s="5">
        <f>F71*AP71</f>
        <v>14132.9</v>
      </c>
      <c r="BJ71" s="5">
        <f>F71*G71</f>
        <v>14132.9</v>
      </c>
    </row>
    <row r="72" spans="1:62">
      <c r="A72" s="2" t="s">
        <v>42</v>
      </c>
      <c r="B72" s="2" t="s">
        <v>658</v>
      </c>
      <c r="C72" s="2" t="s">
        <v>260</v>
      </c>
      <c r="D72" s="2" t="s">
        <v>454</v>
      </c>
      <c r="E72" s="2" t="s">
        <v>640</v>
      </c>
      <c r="F72" s="6">
        <f>'Rozpočet - vybrané sloupce'!AN55</f>
        <v>64.650000000000006</v>
      </c>
      <c r="G72" s="6">
        <f>'Rozpočet - vybrané sloupce'!AS55</f>
        <v>105</v>
      </c>
      <c r="H72" s="6">
        <f>F72*AO72</f>
        <v>6788.2500000000009</v>
      </c>
      <c r="I72" s="6">
        <f>F72*AP72</f>
        <v>0</v>
      </c>
      <c r="J72" s="6">
        <f>F72*G72</f>
        <v>6788.2500000000009</v>
      </c>
      <c r="K72" s="6">
        <v>1E-3</v>
      </c>
      <c r="L72" s="6">
        <f>F72*K72</f>
        <v>6.4650000000000013E-2</v>
      </c>
      <c r="M72" s="39" t="s">
        <v>653</v>
      </c>
      <c r="Z72" s="22">
        <f>IF(AQ72="5",BJ72,0)</f>
        <v>0</v>
      </c>
      <c r="AB72" s="22">
        <f>IF(AQ72="1",BH72,0)</f>
        <v>6788.2500000000009</v>
      </c>
      <c r="AC72" s="22">
        <f>IF(AQ72="1",BI72,0)</f>
        <v>0</v>
      </c>
      <c r="AD72" s="22">
        <f>IF(AQ72="7",BH72,0)</f>
        <v>0</v>
      </c>
      <c r="AE72" s="22">
        <f>IF(AQ72="7",BI72,0)</f>
        <v>0</v>
      </c>
      <c r="AF72" s="22">
        <f>IF(AQ72="2",BH72,0)</f>
        <v>0</v>
      </c>
      <c r="AG72" s="22">
        <f>IF(AQ72="2",BI72,0)</f>
        <v>0</v>
      </c>
      <c r="AH72" s="22">
        <f>IF(AQ72="0",BJ72,0)</f>
        <v>0</v>
      </c>
      <c r="AI72" s="34" t="s">
        <v>658</v>
      </c>
      <c r="AJ72" s="6">
        <f>IF(AN72=0,J72,0)</f>
        <v>0</v>
      </c>
      <c r="AK72" s="6">
        <f>IF(AN72=15,J72,0)</f>
        <v>0</v>
      </c>
      <c r="AL72" s="6">
        <f>IF(AN72=21,J72,0)</f>
        <v>6788.2500000000009</v>
      </c>
      <c r="AN72" s="22">
        <v>21</v>
      </c>
      <c r="AO72" s="22">
        <f>G72*1</f>
        <v>105</v>
      </c>
      <c r="AP72" s="22">
        <f>G72*(1-1)</f>
        <v>0</v>
      </c>
      <c r="AQ72" s="39" t="s">
        <v>7</v>
      </c>
      <c r="AV72" s="22">
        <f>AW72+AX72</f>
        <v>6788.2500000000009</v>
      </c>
      <c r="AW72" s="22">
        <f>F72*AO72</f>
        <v>6788.2500000000009</v>
      </c>
      <c r="AX72" s="22">
        <f>F72*AP72</f>
        <v>0</v>
      </c>
      <c r="AY72" s="77" t="s">
        <v>899</v>
      </c>
      <c r="AZ72" s="77" t="s">
        <v>919</v>
      </c>
      <c r="BA72" s="34" t="s">
        <v>934</v>
      </c>
      <c r="BC72" s="22">
        <f>AW72+AX72</f>
        <v>6788.2500000000009</v>
      </c>
      <c r="BD72" s="22">
        <f>G72/(100-BE72)*100</f>
        <v>105</v>
      </c>
      <c r="BE72" s="22">
        <v>0</v>
      </c>
      <c r="BF72" s="22">
        <f>L72</f>
        <v>6.4650000000000013E-2</v>
      </c>
      <c r="BH72" s="6">
        <f>F72*AO72</f>
        <v>6788.2500000000009</v>
      </c>
      <c r="BI72" s="6">
        <f>F72*AP72</f>
        <v>0</v>
      </c>
      <c r="BJ72" s="6">
        <f>F72*G72</f>
        <v>6788.2500000000009</v>
      </c>
    </row>
    <row r="73" spans="1:62">
      <c r="C73" s="67" t="s">
        <v>672</v>
      </c>
      <c r="D73" s="167" t="s">
        <v>719</v>
      </c>
      <c r="E73" s="168"/>
      <c r="F73" s="168"/>
      <c r="G73" s="168"/>
      <c r="H73" s="168"/>
      <c r="I73" s="168"/>
      <c r="J73" s="168"/>
      <c r="K73" s="168"/>
      <c r="L73" s="168"/>
      <c r="M73" s="168"/>
    </row>
    <row r="74" spans="1:62">
      <c r="A74" s="2" t="s">
        <v>43</v>
      </c>
      <c r="B74" s="2" t="s">
        <v>658</v>
      </c>
      <c r="C74" s="2" t="s">
        <v>261</v>
      </c>
      <c r="D74" s="2" t="s">
        <v>455</v>
      </c>
      <c r="E74" s="2" t="s">
        <v>641</v>
      </c>
      <c r="F74" s="6">
        <f>'Rozpočet - vybrané sloupce'!AN56</f>
        <v>29.14</v>
      </c>
      <c r="G74" s="6">
        <f>'Rozpočet - vybrané sloupce'!AS56</f>
        <v>266.24</v>
      </c>
      <c r="H74" s="6">
        <f>F74*AO74</f>
        <v>7758.2336000000005</v>
      </c>
      <c r="I74" s="6">
        <f>F74*AP74</f>
        <v>0</v>
      </c>
      <c r="J74" s="6">
        <f>F74*G74</f>
        <v>7758.2336000000005</v>
      </c>
      <c r="K74" s="6">
        <v>1E-3</v>
      </c>
      <c r="L74" s="6">
        <f>F74*K74</f>
        <v>2.9140000000000003E-2</v>
      </c>
      <c r="M74" s="39" t="s">
        <v>653</v>
      </c>
      <c r="Z74" s="22">
        <f>IF(AQ74="5",BJ74,0)</f>
        <v>0</v>
      </c>
      <c r="AB74" s="22">
        <f>IF(AQ74="1",BH74,0)</f>
        <v>7758.2336000000005</v>
      </c>
      <c r="AC74" s="22">
        <f>IF(AQ74="1",BI74,0)</f>
        <v>0</v>
      </c>
      <c r="AD74" s="22">
        <f>IF(AQ74="7",BH74,0)</f>
        <v>0</v>
      </c>
      <c r="AE74" s="22">
        <f>IF(AQ74="7",BI74,0)</f>
        <v>0</v>
      </c>
      <c r="AF74" s="22">
        <f>IF(AQ74="2",BH74,0)</f>
        <v>0</v>
      </c>
      <c r="AG74" s="22">
        <f>IF(AQ74="2",BI74,0)</f>
        <v>0</v>
      </c>
      <c r="AH74" s="22">
        <f>IF(AQ74="0",BJ74,0)</f>
        <v>0</v>
      </c>
      <c r="AI74" s="34" t="s">
        <v>658</v>
      </c>
      <c r="AJ74" s="6">
        <f>IF(AN74=0,J74,0)</f>
        <v>0</v>
      </c>
      <c r="AK74" s="6">
        <f>IF(AN74=15,J74,0)</f>
        <v>0</v>
      </c>
      <c r="AL74" s="6">
        <f>IF(AN74=21,J74,0)</f>
        <v>7758.2336000000005</v>
      </c>
      <c r="AN74" s="22">
        <v>21</v>
      </c>
      <c r="AO74" s="22">
        <f>G74*1</f>
        <v>266.24</v>
      </c>
      <c r="AP74" s="22">
        <f>G74*(1-1)</f>
        <v>0</v>
      </c>
      <c r="AQ74" s="39" t="s">
        <v>7</v>
      </c>
      <c r="AV74" s="22">
        <f>AW74+AX74</f>
        <v>7758.2336000000005</v>
      </c>
      <c r="AW74" s="22">
        <f>F74*AO74</f>
        <v>7758.2336000000005</v>
      </c>
      <c r="AX74" s="22">
        <f>F74*AP74</f>
        <v>0</v>
      </c>
      <c r="AY74" s="77" t="s">
        <v>899</v>
      </c>
      <c r="AZ74" s="77" t="s">
        <v>919</v>
      </c>
      <c r="BA74" s="34" t="s">
        <v>934</v>
      </c>
      <c r="BC74" s="22">
        <f>AW74+AX74</f>
        <v>7758.2336000000005</v>
      </c>
      <c r="BD74" s="22">
        <f>G74/(100-BE74)*100</f>
        <v>266.24</v>
      </c>
      <c r="BE74" s="22">
        <v>0</v>
      </c>
      <c r="BF74" s="22">
        <f>L74</f>
        <v>2.9140000000000003E-2</v>
      </c>
      <c r="BH74" s="6">
        <f>F74*AO74</f>
        <v>7758.2336000000005</v>
      </c>
      <c r="BI74" s="6">
        <f>F74*AP74</f>
        <v>0</v>
      </c>
      <c r="BJ74" s="6">
        <f>F74*G74</f>
        <v>7758.2336000000005</v>
      </c>
    </row>
    <row r="75" spans="1:62">
      <c r="A75" s="1" t="s">
        <v>44</v>
      </c>
      <c r="B75" s="1" t="s">
        <v>658</v>
      </c>
      <c r="C75" s="1" t="s">
        <v>262</v>
      </c>
      <c r="D75" s="1" t="s">
        <v>456</v>
      </c>
      <c r="E75" s="1" t="s">
        <v>636</v>
      </c>
      <c r="F75" s="5">
        <f>'Rozpočet - vybrané sloupce'!AN57</f>
        <v>430</v>
      </c>
      <c r="G75" s="5">
        <f>'Rozpočet - vybrané sloupce'!AS57</f>
        <v>63.3</v>
      </c>
      <c r="H75" s="5">
        <f>F75*AO75</f>
        <v>0</v>
      </c>
      <c r="I75" s="5">
        <f>F75*AP75</f>
        <v>27219</v>
      </c>
      <c r="J75" s="5">
        <f>F75*G75</f>
        <v>27219</v>
      </c>
      <c r="K75" s="5">
        <v>0</v>
      </c>
      <c r="L75" s="5">
        <f>F75*K75</f>
        <v>0</v>
      </c>
      <c r="M75" s="38" t="s">
        <v>653</v>
      </c>
      <c r="Z75" s="22">
        <f>IF(AQ75="5",BJ75,0)</f>
        <v>0</v>
      </c>
      <c r="AB75" s="22">
        <f>IF(AQ75="1",BH75,0)</f>
        <v>0</v>
      </c>
      <c r="AC75" s="22">
        <f>IF(AQ75="1",BI75,0)</f>
        <v>27219</v>
      </c>
      <c r="AD75" s="22">
        <f>IF(AQ75="7",BH75,0)</f>
        <v>0</v>
      </c>
      <c r="AE75" s="22">
        <f>IF(AQ75="7",BI75,0)</f>
        <v>0</v>
      </c>
      <c r="AF75" s="22">
        <f>IF(AQ75="2",BH75,0)</f>
        <v>0</v>
      </c>
      <c r="AG75" s="22">
        <f>IF(AQ75="2",BI75,0)</f>
        <v>0</v>
      </c>
      <c r="AH75" s="22">
        <f>IF(AQ75="0",BJ75,0)</f>
        <v>0</v>
      </c>
      <c r="AI75" s="34" t="s">
        <v>658</v>
      </c>
      <c r="AJ75" s="5">
        <f>IF(AN75=0,J75,0)</f>
        <v>0</v>
      </c>
      <c r="AK75" s="5">
        <f>IF(AN75=15,J75,0)</f>
        <v>0</v>
      </c>
      <c r="AL75" s="5">
        <f>IF(AN75=21,J75,0)</f>
        <v>27219</v>
      </c>
      <c r="AN75" s="22">
        <v>21</v>
      </c>
      <c r="AO75" s="22">
        <f>G75*0</f>
        <v>0</v>
      </c>
      <c r="AP75" s="22">
        <f>G75*(1-0)</f>
        <v>63.3</v>
      </c>
      <c r="AQ75" s="38" t="s">
        <v>7</v>
      </c>
      <c r="AV75" s="22">
        <f>AW75+AX75</f>
        <v>27219</v>
      </c>
      <c r="AW75" s="22">
        <f>F75*AO75</f>
        <v>0</v>
      </c>
      <c r="AX75" s="22">
        <f>F75*AP75</f>
        <v>27219</v>
      </c>
      <c r="AY75" s="77" t="s">
        <v>899</v>
      </c>
      <c r="AZ75" s="77" t="s">
        <v>919</v>
      </c>
      <c r="BA75" s="34" t="s">
        <v>934</v>
      </c>
      <c r="BC75" s="22">
        <f>AW75+AX75</f>
        <v>27219</v>
      </c>
      <c r="BD75" s="22">
        <f>G75/(100-BE75)*100</f>
        <v>63.3</v>
      </c>
      <c r="BE75" s="22">
        <v>0</v>
      </c>
      <c r="BF75" s="22">
        <f>L75</f>
        <v>0</v>
      </c>
      <c r="BH75" s="5">
        <f>F75*AO75</f>
        <v>0</v>
      </c>
      <c r="BI75" s="5">
        <f>F75*AP75</f>
        <v>27219</v>
      </c>
      <c r="BJ75" s="5">
        <f>F75*G75</f>
        <v>27219</v>
      </c>
    </row>
    <row r="76" spans="1:62">
      <c r="C76" s="67" t="s">
        <v>672</v>
      </c>
      <c r="D76" s="167" t="s">
        <v>727</v>
      </c>
      <c r="E76" s="168"/>
      <c r="F76" s="168"/>
      <c r="G76" s="168"/>
      <c r="H76" s="168"/>
      <c r="I76" s="168"/>
      <c r="J76" s="168"/>
      <c r="K76" s="168"/>
      <c r="L76" s="168"/>
      <c r="M76" s="168"/>
    </row>
    <row r="77" spans="1:62">
      <c r="A77" s="2" t="s">
        <v>45</v>
      </c>
      <c r="B77" s="2" t="s">
        <v>658</v>
      </c>
      <c r="C77" s="2" t="s">
        <v>263</v>
      </c>
      <c r="D77" s="2" t="s">
        <v>457</v>
      </c>
      <c r="E77" s="2" t="s">
        <v>638</v>
      </c>
      <c r="F77" s="6">
        <f>'Rozpočet - vybrané sloupce'!AN58</f>
        <v>24.75</v>
      </c>
      <c r="G77" s="6">
        <f>'Rozpočet - vybrané sloupce'!AS58</f>
        <v>418</v>
      </c>
      <c r="H77" s="6">
        <f>F77*AO77</f>
        <v>10345.5</v>
      </c>
      <c r="I77" s="6">
        <f>F77*AP77</f>
        <v>0</v>
      </c>
      <c r="J77" s="6">
        <f>F77*G77</f>
        <v>10345.5</v>
      </c>
      <c r="K77" s="6">
        <v>1.67</v>
      </c>
      <c r="L77" s="6">
        <f>F77*K77</f>
        <v>41.332499999999996</v>
      </c>
      <c r="M77" s="39" t="s">
        <v>653</v>
      </c>
      <c r="Z77" s="22">
        <f>IF(AQ77="5",BJ77,0)</f>
        <v>0</v>
      </c>
      <c r="AB77" s="22">
        <f>IF(AQ77="1",BH77,0)</f>
        <v>10345.5</v>
      </c>
      <c r="AC77" s="22">
        <f>IF(AQ77="1",BI77,0)</f>
        <v>0</v>
      </c>
      <c r="AD77" s="22">
        <f>IF(AQ77="7",BH77,0)</f>
        <v>0</v>
      </c>
      <c r="AE77" s="22">
        <f>IF(AQ77="7",BI77,0)</f>
        <v>0</v>
      </c>
      <c r="AF77" s="22">
        <f>IF(AQ77="2",BH77,0)</f>
        <v>0</v>
      </c>
      <c r="AG77" s="22">
        <f>IF(AQ77="2",BI77,0)</f>
        <v>0</v>
      </c>
      <c r="AH77" s="22">
        <f>IF(AQ77="0",BJ77,0)</f>
        <v>0</v>
      </c>
      <c r="AI77" s="34" t="s">
        <v>658</v>
      </c>
      <c r="AJ77" s="6">
        <f>IF(AN77=0,J77,0)</f>
        <v>0</v>
      </c>
      <c r="AK77" s="6">
        <f>IF(AN77=15,J77,0)</f>
        <v>0</v>
      </c>
      <c r="AL77" s="6">
        <f>IF(AN77=21,J77,0)</f>
        <v>10345.5</v>
      </c>
      <c r="AN77" s="22">
        <v>21</v>
      </c>
      <c r="AO77" s="22">
        <f>G77*1</f>
        <v>418</v>
      </c>
      <c r="AP77" s="22">
        <f>G77*(1-1)</f>
        <v>0</v>
      </c>
      <c r="AQ77" s="39" t="s">
        <v>7</v>
      </c>
      <c r="AV77" s="22">
        <f>AW77+AX77</f>
        <v>10345.5</v>
      </c>
      <c r="AW77" s="22">
        <f>F77*AO77</f>
        <v>10345.5</v>
      </c>
      <c r="AX77" s="22">
        <f>F77*AP77</f>
        <v>0</v>
      </c>
      <c r="AY77" s="77" t="s">
        <v>899</v>
      </c>
      <c r="AZ77" s="77" t="s">
        <v>919</v>
      </c>
      <c r="BA77" s="34" t="s">
        <v>934</v>
      </c>
      <c r="BC77" s="22">
        <f>AW77+AX77</f>
        <v>10345.5</v>
      </c>
      <c r="BD77" s="22">
        <f>G77/(100-BE77)*100</f>
        <v>418</v>
      </c>
      <c r="BE77" s="22">
        <v>0</v>
      </c>
      <c r="BF77" s="22">
        <f>L77</f>
        <v>41.332499999999996</v>
      </c>
      <c r="BH77" s="6">
        <f>F77*AO77</f>
        <v>10345.5</v>
      </c>
      <c r="BI77" s="6">
        <f>F77*AP77</f>
        <v>0</v>
      </c>
      <c r="BJ77" s="6">
        <f>F77*G77</f>
        <v>10345.5</v>
      </c>
    </row>
    <row r="78" spans="1:62" ht="25.7" customHeight="1">
      <c r="C78" s="67" t="s">
        <v>672</v>
      </c>
      <c r="D78" s="167" t="s">
        <v>729</v>
      </c>
      <c r="E78" s="168"/>
      <c r="F78" s="168"/>
      <c r="G78" s="168"/>
      <c r="H78" s="168"/>
      <c r="I78" s="168"/>
      <c r="J78" s="168"/>
      <c r="K78" s="168"/>
      <c r="L78" s="168"/>
      <c r="M78" s="168"/>
    </row>
    <row r="79" spans="1:62">
      <c r="A79" s="1" t="s">
        <v>46</v>
      </c>
      <c r="B79" s="1" t="s">
        <v>658</v>
      </c>
      <c r="C79" s="1" t="s">
        <v>264</v>
      </c>
      <c r="D79" s="1" t="s">
        <v>458</v>
      </c>
      <c r="E79" s="1" t="s">
        <v>636</v>
      </c>
      <c r="F79" s="5">
        <f>'Rozpočet - vybrané sloupce'!AN59</f>
        <v>2784</v>
      </c>
      <c r="G79" s="5">
        <f>'Rozpočet - vybrané sloupce'!AS59</f>
        <v>28.7</v>
      </c>
      <c r="H79" s="5">
        <f>F79*AO79</f>
        <v>0</v>
      </c>
      <c r="I79" s="5">
        <f>F79*AP79</f>
        <v>79900.800000000003</v>
      </c>
      <c r="J79" s="5">
        <f>F79*G79</f>
        <v>79900.800000000003</v>
      </c>
      <c r="K79" s="5">
        <v>0</v>
      </c>
      <c r="L79" s="5">
        <f>F79*K79</f>
        <v>0</v>
      </c>
      <c r="M79" s="38" t="s">
        <v>653</v>
      </c>
      <c r="Z79" s="22">
        <f>IF(AQ79="5",BJ79,0)</f>
        <v>0</v>
      </c>
      <c r="AB79" s="22">
        <f>IF(AQ79="1",BH79,0)</f>
        <v>0</v>
      </c>
      <c r="AC79" s="22">
        <f>IF(AQ79="1",BI79,0)</f>
        <v>79900.800000000003</v>
      </c>
      <c r="AD79" s="22">
        <f>IF(AQ79="7",BH79,0)</f>
        <v>0</v>
      </c>
      <c r="AE79" s="22">
        <f>IF(AQ79="7",BI79,0)</f>
        <v>0</v>
      </c>
      <c r="AF79" s="22">
        <f>IF(AQ79="2",BH79,0)</f>
        <v>0</v>
      </c>
      <c r="AG79" s="22">
        <f>IF(AQ79="2",BI79,0)</f>
        <v>0</v>
      </c>
      <c r="AH79" s="22">
        <f>IF(AQ79="0",BJ79,0)</f>
        <v>0</v>
      </c>
      <c r="AI79" s="34" t="s">
        <v>658</v>
      </c>
      <c r="AJ79" s="5">
        <f>IF(AN79=0,J79,0)</f>
        <v>0</v>
      </c>
      <c r="AK79" s="5">
        <f>IF(AN79=15,J79,0)</f>
        <v>0</v>
      </c>
      <c r="AL79" s="5">
        <f>IF(AN79=21,J79,0)</f>
        <v>79900.800000000003</v>
      </c>
      <c r="AN79" s="22">
        <v>21</v>
      </c>
      <c r="AO79" s="22">
        <f>G79*0</f>
        <v>0</v>
      </c>
      <c r="AP79" s="22">
        <f>G79*(1-0)</f>
        <v>28.7</v>
      </c>
      <c r="AQ79" s="38" t="s">
        <v>7</v>
      </c>
      <c r="AV79" s="22">
        <f>AW79+AX79</f>
        <v>79900.800000000003</v>
      </c>
      <c r="AW79" s="22">
        <f>F79*AO79</f>
        <v>0</v>
      </c>
      <c r="AX79" s="22">
        <f>F79*AP79</f>
        <v>79900.800000000003</v>
      </c>
      <c r="AY79" s="77" t="s">
        <v>899</v>
      </c>
      <c r="AZ79" s="77" t="s">
        <v>919</v>
      </c>
      <c r="BA79" s="34" t="s">
        <v>934</v>
      </c>
      <c r="BC79" s="22">
        <f>AW79+AX79</f>
        <v>79900.800000000003</v>
      </c>
      <c r="BD79" s="22">
        <f>G79/(100-BE79)*100</f>
        <v>28.7</v>
      </c>
      <c r="BE79" s="22">
        <v>0</v>
      </c>
      <c r="BF79" s="22">
        <f>L79</f>
        <v>0</v>
      </c>
      <c r="BH79" s="5">
        <f>F79*AO79</f>
        <v>0</v>
      </c>
      <c r="BI79" s="5">
        <f>F79*AP79</f>
        <v>79900.800000000003</v>
      </c>
      <c r="BJ79" s="5">
        <f>F79*G79</f>
        <v>79900.800000000003</v>
      </c>
    </row>
    <row r="80" spans="1:62">
      <c r="A80" s="1" t="s">
        <v>47</v>
      </c>
      <c r="B80" s="1" t="s">
        <v>658</v>
      </c>
      <c r="C80" s="1" t="s">
        <v>265</v>
      </c>
      <c r="D80" s="1" t="s">
        <v>459</v>
      </c>
      <c r="E80" s="1" t="s">
        <v>636</v>
      </c>
      <c r="F80" s="5">
        <f>'Rozpočet - vybrané sloupce'!AN60</f>
        <v>759</v>
      </c>
      <c r="G80" s="5">
        <f>'Rozpočet - vybrané sloupce'!AS60</f>
        <v>21</v>
      </c>
      <c r="H80" s="5">
        <f>F80*AO80</f>
        <v>6831.0000000000064</v>
      </c>
      <c r="I80" s="5">
        <f>F80*AP80</f>
        <v>9107.9999999999927</v>
      </c>
      <c r="J80" s="5">
        <f>F80*G80</f>
        <v>15939</v>
      </c>
      <c r="K80" s="5">
        <v>0</v>
      </c>
      <c r="L80" s="5">
        <f>F80*K80</f>
        <v>0</v>
      </c>
      <c r="M80" s="38" t="s">
        <v>653</v>
      </c>
      <c r="Z80" s="22">
        <f>IF(AQ80="5",BJ80,0)</f>
        <v>0</v>
      </c>
      <c r="AB80" s="22">
        <f>IF(AQ80="1",BH80,0)</f>
        <v>6831.0000000000064</v>
      </c>
      <c r="AC80" s="22">
        <f>IF(AQ80="1",BI80,0)</f>
        <v>9107.9999999999927</v>
      </c>
      <c r="AD80" s="22">
        <f>IF(AQ80="7",BH80,0)</f>
        <v>0</v>
      </c>
      <c r="AE80" s="22">
        <f>IF(AQ80="7",BI80,0)</f>
        <v>0</v>
      </c>
      <c r="AF80" s="22">
        <f>IF(AQ80="2",BH80,0)</f>
        <v>0</v>
      </c>
      <c r="AG80" s="22">
        <f>IF(AQ80="2",BI80,0)</f>
        <v>0</v>
      </c>
      <c r="AH80" s="22">
        <f>IF(AQ80="0",BJ80,0)</f>
        <v>0</v>
      </c>
      <c r="AI80" s="34" t="s">
        <v>658</v>
      </c>
      <c r="AJ80" s="5">
        <f>IF(AN80=0,J80,0)</f>
        <v>0</v>
      </c>
      <c r="AK80" s="5">
        <f>IF(AN80=15,J80,0)</f>
        <v>0</v>
      </c>
      <c r="AL80" s="5">
        <f>IF(AN80=21,J80,0)</f>
        <v>15939</v>
      </c>
      <c r="AN80" s="22">
        <v>21</v>
      </c>
      <c r="AO80" s="22">
        <f>G80*0.428571428571429</f>
        <v>9.0000000000000089</v>
      </c>
      <c r="AP80" s="22">
        <f>G80*(1-0.428571428571429)</f>
        <v>11.999999999999989</v>
      </c>
      <c r="AQ80" s="38" t="s">
        <v>7</v>
      </c>
      <c r="AV80" s="22">
        <f>AW80+AX80</f>
        <v>15939</v>
      </c>
      <c r="AW80" s="22">
        <f>F80*AO80</f>
        <v>6831.0000000000064</v>
      </c>
      <c r="AX80" s="22">
        <f>F80*AP80</f>
        <v>9107.9999999999927</v>
      </c>
      <c r="AY80" s="77" t="s">
        <v>899</v>
      </c>
      <c r="AZ80" s="77" t="s">
        <v>919</v>
      </c>
      <c r="BA80" s="34" t="s">
        <v>934</v>
      </c>
      <c r="BC80" s="22">
        <f>AW80+AX80</f>
        <v>15939</v>
      </c>
      <c r="BD80" s="22">
        <f>G80/(100-BE80)*100</f>
        <v>21</v>
      </c>
      <c r="BE80" s="22">
        <v>0</v>
      </c>
      <c r="BF80" s="22">
        <f>L80</f>
        <v>0</v>
      </c>
      <c r="BH80" s="5">
        <f>F80*AO80</f>
        <v>6831.0000000000064</v>
      </c>
      <c r="BI80" s="5">
        <f>F80*AP80</f>
        <v>9107.9999999999927</v>
      </c>
      <c r="BJ80" s="5">
        <f>F80*G80</f>
        <v>15939</v>
      </c>
    </row>
    <row r="81" spans="1:62">
      <c r="D81" s="3" t="s">
        <v>460</v>
      </c>
    </row>
    <row r="82" spans="1:62">
      <c r="A82" s="1" t="s">
        <v>48</v>
      </c>
      <c r="B82" s="1" t="s">
        <v>658</v>
      </c>
      <c r="C82" s="1" t="s">
        <v>266</v>
      </c>
      <c r="D82" s="1" t="s">
        <v>461</v>
      </c>
      <c r="E82" s="1" t="s">
        <v>636</v>
      </c>
      <c r="F82" s="5">
        <f>'Rozpočet - vybrané sloupce'!AN62</f>
        <v>759</v>
      </c>
      <c r="G82" s="5">
        <f>'Rozpočet - vybrané sloupce'!AS62</f>
        <v>58.59</v>
      </c>
      <c r="H82" s="5">
        <f t="shared" ref="H82:H113" si="26">F82*AO82</f>
        <v>0</v>
      </c>
      <c r="I82" s="5">
        <f t="shared" ref="I82:I113" si="27">F82*AP82</f>
        <v>44469.810000000005</v>
      </c>
      <c r="J82" s="5">
        <f t="shared" ref="J82:J113" si="28">F82*G82</f>
        <v>44469.810000000005</v>
      </c>
      <c r="K82" s="5">
        <v>0</v>
      </c>
      <c r="L82" s="5">
        <f t="shared" ref="L82:L113" si="29">F82*K82</f>
        <v>0</v>
      </c>
      <c r="M82" s="38" t="s">
        <v>653</v>
      </c>
      <c r="Z82" s="22">
        <f t="shared" ref="Z82:Z113" si="30">IF(AQ82="5",BJ82,0)</f>
        <v>0</v>
      </c>
      <c r="AB82" s="22">
        <f t="shared" ref="AB82:AB113" si="31">IF(AQ82="1",BH82,0)</f>
        <v>0</v>
      </c>
      <c r="AC82" s="22">
        <f t="shared" ref="AC82:AC113" si="32">IF(AQ82="1",BI82,0)</f>
        <v>44469.810000000005</v>
      </c>
      <c r="AD82" s="22">
        <f t="shared" ref="AD82:AD113" si="33">IF(AQ82="7",BH82,0)</f>
        <v>0</v>
      </c>
      <c r="AE82" s="22">
        <f t="shared" ref="AE82:AE113" si="34">IF(AQ82="7",BI82,0)</f>
        <v>0</v>
      </c>
      <c r="AF82" s="22">
        <f t="shared" ref="AF82:AF113" si="35">IF(AQ82="2",BH82,0)</f>
        <v>0</v>
      </c>
      <c r="AG82" s="22">
        <f t="shared" ref="AG82:AG113" si="36">IF(AQ82="2",BI82,0)</f>
        <v>0</v>
      </c>
      <c r="AH82" s="22">
        <f t="shared" ref="AH82:AH113" si="37">IF(AQ82="0",BJ82,0)</f>
        <v>0</v>
      </c>
      <c r="AI82" s="34" t="s">
        <v>658</v>
      </c>
      <c r="AJ82" s="5">
        <f t="shared" ref="AJ82:AJ113" si="38">IF(AN82=0,J82,0)</f>
        <v>0</v>
      </c>
      <c r="AK82" s="5">
        <f t="shared" ref="AK82:AK113" si="39">IF(AN82=15,J82,0)</f>
        <v>0</v>
      </c>
      <c r="AL82" s="5">
        <f t="shared" ref="AL82:AL113" si="40">IF(AN82=21,J82,0)</f>
        <v>44469.810000000005</v>
      </c>
      <c r="AN82" s="22">
        <v>21</v>
      </c>
      <c r="AO82" s="22">
        <f>G82*0</f>
        <v>0</v>
      </c>
      <c r="AP82" s="22">
        <f>G82*(1-0)</f>
        <v>58.59</v>
      </c>
      <c r="AQ82" s="38" t="s">
        <v>7</v>
      </c>
      <c r="AV82" s="22">
        <f t="shared" ref="AV82:AV113" si="41">AW82+AX82</f>
        <v>44469.810000000005</v>
      </c>
      <c r="AW82" s="22">
        <f t="shared" ref="AW82:AW113" si="42">F82*AO82</f>
        <v>0</v>
      </c>
      <c r="AX82" s="22">
        <f t="shared" ref="AX82:AX113" si="43">F82*AP82</f>
        <v>44469.810000000005</v>
      </c>
      <c r="AY82" s="77" t="s">
        <v>899</v>
      </c>
      <c r="AZ82" s="77" t="s">
        <v>919</v>
      </c>
      <c r="BA82" s="34" t="s">
        <v>934</v>
      </c>
      <c r="BC82" s="22">
        <f t="shared" ref="BC82:BC113" si="44">AW82+AX82</f>
        <v>44469.810000000005</v>
      </c>
      <c r="BD82" s="22">
        <f t="shared" ref="BD82:BD113" si="45">G82/(100-BE82)*100</f>
        <v>58.590000000000011</v>
      </c>
      <c r="BE82" s="22">
        <v>0</v>
      </c>
      <c r="BF82" s="22">
        <f t="shared" ref="BF82:BF113" si="46">L82</f>
        <v>0</v>
      </c>
      <c r="BH82" s="5">
        <f t="shared" ref="BH82:BH113" si="47">F82*AO82</f>
        <v>0</v>
      </c>
      <c r="BI82" s="5">
        <f t="shared" ref="BI82:BI113" si="48">F82*AP82</f>
        <v>44469.810000000005</v>
      </c>
      <c r="BJ82" s="5">
        <f t="shared" ref="BJ82:BJ113" si="49">F82*G82</f>
        <v>44469.810000000005</v>
      </c>
    </row>
    <row r="83" spans="1:62">
      <c r="A83" s="2" t="s">
        <v>49</v>
      </c>
      <c r="B83" s="2" t="s">
        <v>658</v>
      </c>
      <c r="C83" s="2" t="s">
        <v>267</v>
      </c>
      <c r="D83" s="2" t="s">
        <v>462</v>
      </c>
      <c r="E83" s="2" t="s">
        <v>638</v>
      </c>
      <c r="F83" s="6">
        <f>'Rozpočet - vybrané sloupce'!AN63</f>
        <v>75.900000000000006</v>
      </c>
      <c r="G83" s="6">
        <f>'Rozpočet - vybrané sloupce'!AS63</f>
        <v>704</v>
      </c>
      <c r="H83" s="6">
        <f t="shared" si="26"/>
        <v>53433.600000000006</v>
      </c>
      <c r="I83" s="6">
        <f t="shared" si="27"/>
        <v>0</v>
      </c>
      <c r="J83" s="6">
        <f t="shared" si="28"/>
        <v>53433.600000000006</v>
      </c>
      <c r="K83" s="6">
        <v>0.6</v>
      </c>
      <c r="L83" s="6">
        <f t="shared" si="29"/>
        <v>45.54</v>
      </c>
      <c r="M83" s="39" t="s">
        <v>653</v>
      </c>
      <c r="Z83" s="22">
        <f t="shared" si="30"/>
        <v>0</v>
      </c>
      <c r="AB83" s="22">
        <f t="shared" si="31"/>
        <v>53433.600000000006</v>
      </c>
      <c r="AC83" s="22">
        <f t="shared" si="32"/>
        <v>0</v>
      </c>
      <c r="AD83" s="22">
        <f t="shared" si="33"/>
        <v>0</v>
      </c>
      <c r="AE83" s="22">
        <f t="shared" si="34"/>
        <v>0</v>
      </c>
      <c r="AF83" s="22">
        <f t="shared" si="35"/>
        <v>0</v>
      </c>
      <c r="AG83" s="22">
        <f t="shared" si="36"/>
        <v>0</v>
      </c>
      <c r="AH83" s="22">
        <f t="shared" si="37"/>
        <v>0</v>
      </c>
      <c r="AI83" s="34" t="s">
        <v>658</v>
      </c>
      <c r="AJ83" s="6">
        <f t="shared" si="38"/>
        <v>0</v>
      </c>
      <c r="AK83" s="6">
        <f t="shared" si="39"/>
        <v>0</v>
      </c>
      <c r="AL83" s="6">
        <f t="shared" si="40"/>
        <v>53433.600000000006</v>
      </c>
      <c r="AN83" s="22">
        <v>21</v>
      </c>
      <c r="AO83" s="22">
        <f>G83*1</f>
        <v>704</v>
      </c>
      <c r="AP83" s="22">
        <f>G83*(1-1)</f>
        <v>0</v>
      </c>
      <c r="AQ83" s="39" t="s">
        <v>7</v>
      </c>
      <c r="AV83" s="22">
        <f t="shared" si="41"/>
        <v>53433.600000000006</v>
      </c>
      <c r="AW83" s="22">
        <f t="shared" si="42"/>
        <v>53433.600000000006</v>
      </c>
      <c r="AX83" s="22">
        <f t="shared" si="43"/>
        <v>0</v>
      </c>
      <c r="AY83" s="77" t="s">
        <v>899</v>
      </c>
      <c r="AZ83" s="77" t="s">
        <v>919</v>
      </c>
      <c r="BA83" s="34" t="s">
        <v>934</v>
      </c>
      <c r="BC83" s="22">
        <f t="shared" si="44"/>
        <v>53433.600000000006</v>
      </c>
      <c r="BD83" s="22">
        <f t="shared" si="45"/>
        <v>704</v>
      </c>
      <c r="BE83" s="22">
        <v>0</v>
      </c>
      <c r="BF83" s="22">
        <f t="shared" si="46"/>
        <v>45.54</v>
      </c>
      <c r="BH83" s="6">
        <f t="shared" si="47"/>
        <v>53433.600000000006</v>
      </c>
      <c r="BI83" s="6">
        <f t="shared" si="48"/>
        <v>0</v>
      </c>
      <c r="BJ83" s="6">
        <f t="shared" si="49"/>
        <v>53433.600000000006</v>
      </c>
    </row>
    <row r="84" spans="1:62">
      <c r="A84" s="1" t="s">
        <v>50</v>
      </c>
      <c r="B84" s="1" t="s">
        <v>658</v>
      </c>
      <c r="C84" s="1" t="s">
        <v>268</v>
      </c>
      <c r="D84" s="1" t="s">
        <v>463</v>
      </c>
      <c r="E84" s="1" t="s">
        <v>636</v>
      </c>
      <c r="F84" s="5">
        <f>'Rozpočet - vybrané sloupce'!AN64</f>
        <v>759</v>
      </c>
      <c r="G84" s="5">
        <f>'Rozpočet - vybrané sloupce'!AS64</f>
        <v>29.4</v>
      </c>
      <c r="H84" s="5">
        <f t="shared" si="26"/>
        <v>0</v>
      </c>
      <c r="I84" s="5">
        <f t="shared" si="27"/>
        <v>22314.6</v>
      </c>
      <c r="J84" s="5">
        <f t="shared" si="28"/>
        <v>22314.6</v>
      </c>
      <c r="K84" s="5">
        <v>0</v>
      </c>
      <c r="L84" s="5">
        <f t="shared" si="29"/>
        <v>0</v>
      </c>
      <c r="M84" s="38" t="s">
        <v>653</v>
      </c>
      <c r="Z84" s="22">
        <f t="shared" si="30"/>
        <v>0</v>
      </c>
      <c r="AB84" s="22">
        <f t="shared" si="31"/>
        <v>0</v>
      </c>
      <c r="AC84" s="22">
        <f t="shared" si="32"/>
        <v>22314.6</v>
      </c>
      <c r="AD84" s="22">
        <f t="shared" si="33"/>
        <v>0</v>
      </c>
      <c r="AE84" s="22">
        <f t="shared" si="34"/>
        <v>0</v>
      </c>
      <c r="AF84" s="22">
        <f t="shared" si="35"/>
        <v>0</v>
      </c>
      <c r="AG84" s="22">
        <f t="shared" si="36"/>
        <v>0</v>
      </c>
      <c r="AH84" s="22">
        <f t="shared" si="37"/>
        <v>0</v>
      </c>
      <c r="AI84" s="34" t="s">
        <v>658</v>
      </c>
      <c r="AJ84" s="5">
        <f t="shared" si="38"/>
        <v>0</v>
      </c>
      <c r="AK84" s="5">
        <f t="shared" si="39"/>
        <v>0</v>
      </c>
      <c r="AL84" s="5">
        <f t="shared" si="40"/>
        <v>22314.6</v>
      </c>
      <c r="AN84" s="22">
        <v>21</v>
      </c>
      <c r="AO84" s="22">
        <f>G84*0</f>
        <v>0</v>
      </c>
      <c r="AP84" s="22">
        <f>G84*(1-0)</f>
        <v>29.4</v>
      </c>
      <c r="AQ84" s="38" t="s">
        <v>7</v>
      </c>
      <c r="AV84" s="22">
        <f t="shared" si="41"/>
        <v>22314.6</v>
      </c>
      <c r="AW84" s="22">
        <f t="shared" si="42"/>
        <v>0</v>
      </c>
      <c r="AX84" s="22">
        <f t="shared" si="43"/>
        <v>22314.6</v>
      </c>
      <c r="AY84" s="77" t="s">
        <v>899</v>
      </c>
      <c r="AZ84" s="77" t="s">
        <v>919</v>
      </c>
      <c r="BA84" s="34" t="s">
        <v>934</v>
      </c>
      <c r="BC84" s="22">
        <f t="shared" si="44"/>
        <v>22314.6</v>
      </c>
      <c r="BD84" s="22">
        <f t="shared" si="45"/>
        <v>29.4</v>
      </c>
      <c r="BE84" s="22">
        <v>0</v>
      </c>
      <c r="BF84" s="22">
        <f t="shared" si="46"/>
        <v>0</v>
      </c>
      <c r="BH84" s="5">
        <f t="shared" si="47"/>
        <v>0</v>
      </c>
      <c r="BI84" s="5">
        <f t="shared" si="48"/>
        <v>22314.6</v>
      </c>
      <c r="BJ84" s="5">
        <f t="shared" si="49"/>
        <v>22314.6</v>
      </c>
    </row>
    <row r="85" spans="1:62">
      <c r="A85" s="1" t="s">
        <v>51</v>
      </c>
      <c r="B85" s="1" t="s">
        <v>658</v>
      </c>
      <c r="C85" s="1" t="s">
        <v>269</v>
      </c>
      <c r="D85" s="1" t="s">
        <v>464</v>
      </c>
      <c r="E85" s="1" t="s">
        <v>638</v>
      </c>
      <c r="F85" s="5">
        <f>'Rozpočet - vybrané sloupce'!AN65</f>
        <v>18.975000000000001</v>
      </c>
      <c r="G85" s="5">
        <f>'Rozpočet - vybrané sloupce'!AS65</f>
        <v>134</v>
      </c>
      <c r="H85" s="5">
        <f t="shared" si="26"/>
        <v>777.97499999999923</v>
      </c>
      <c r="I85" s="5">
        <f t="shared" si="27"/>
        <v>1764.6750000000009</v>
      </c>
      <c r="J85" s="5">
        <f t="shared" si="28"/>
        <v>2542.65</v>
      </c>
      <c r="K85" s="5">
        <v>0</v>
      </c>
      <c r="L85" s="5">
        <f t="shared" si="29"/>
        <v>0</v>
      </c>
      <c r="M85" s="38" t="s">
        <v>653</v>
      </c>
      <c r="Z85" s="22">
        <f t="shared" si="30"/>
        <v>0</v>
      </c>
      <c r="AB85" s="22">
        <f t="shared" si="31"/>
        <v>777.97499999999923</v>
      </c>
      <c r="AC85" s="22">
        <f t="shared" si="32"/>
        <v>1764.6750000000009</v>
      </c>
      <c r="AD85" s="22">
        <f t="shared" si="33"/>
        <v>0</v>
      </c>
      <c r="AE85" s="22">
        <f t="shared" si="34"/>
        <v>0</v>
      </c>
      <c r="AF85" s="22">
        <f t="shared" si="35"/>
        <v>0</v>
      </c>
      <c r="AG85" s="22">
        <f t="shared" si="36"/>
        <v>0</v>
      </c>
      <c r="AH85" s="22">
        <f t="shared" si="37"/>
        <v>0</v>
      </c>
      <c r="AI85" s="34" t="s">
        <v>658</v>
      </c>
      <c r="AJ85" s="5">
        <f t="shared" si="38"/>
        <v>0</v>
      </c>
      <c r="AK85" s="5">
        <f t="shared" si="39"/>
        <v>0</v>
      </c>
      <c r="AL85" s="5">
        <f t="shared" si="40"/>
        <v>2542.65</v>
      </c>
      <c r="AN85" s="22">
        <v>21</v>
      </c>
      <c r="AO85" s="22">
        <f>G85*0.305970149253731</f>
        <v>40.999999999999957</v>
      </c>
      <c r="AP85" s="22">
        <f>G85*(1-0.305970149253731)</f>
        <v>93.000000000000043</v>
      </c>
      <c r="AQ85" s="38" t="s">
        <v>7</v>
      </c>
      <c r="AV85" s="22">
        <f t="shared" si="41"/>
        <v>2542.65</v>
      </c>
      <c r="AW85" s="22">
        <f t="shared" si="42"/>
        <v>777.97499999999923</v>
      </c>
      <c r="AX85" s="22">
        <f t="shared" si="43"/>
        <v>1764.6750000000009</v>
      </c>
      <c r="AY85" s="77" t="s">
        <v>899</v>
      </c>
      <c r="AZ85" s="77" t="s">
        <v>919</v>
      </c>
      <c r="BA85" s="34" t="s">
        <v>934</v>
      </c>
      <c r="BC85" s="22">
        <f t="shared" si="44"/>
        <v>2542.65</v>
      </c>
      <c r="BD85" s="22">
        <f t="shared" si="45"/>
        <v>134</v>
      </c>
      <c r="BE85" s="22">
        <v>0</v>
      </c>
      <c r="BF85" s="22">
        <f t="shared" si="46"/>
        <v>0</v>
      </c>
      <c r="BH85" s="5">
        <f t="shared" si="47"/>
        <v>777.97499999999923</v>
      </c>
      <c r="BI85" s="5">
        <f t="shared" si="48"/>
        <v>1764.6750000000009</v>
      </c>
      <c r="BJ85" s="5">
        <f t="shared" si="49"/>
        <v>2542.65</v>
      </c>
    </row>
    <row r="86" spans="1:62">
      <c r="A86" s="1" t="s">
        <v>52</v>
      </c>
      <c r="B86" s="1" t="s">
        <v>658</v>
      </c>
      <c r="C86" s="1" t="s">
        <v>270</v>
      </c>
      <c r="D86" s="1" t="s">
        <v>465</v>
      </c>
      <c r="E86" s="1" t="s">
        <v>638</v>
      </c>
      <c r="F86" s="5">
        <f>'Rozpočet - vybrané sloupce'!AN66</f>
        <v>18.975000000000001</v>
      </c>
      <c r="G86" s="5">
        <f>'Rozpočet - vybrané sloupce'!AS66</f>
        <v>687</v>
      </c>
      <c r="H86" s="5">
        <f t="shared" si="26"/>
        <v>0</v>
      </c>
      <c r="I86" s="5">
        <f t="shared" si="27"/>
        <v>13035.825000000001</v>
      </c>
      <c r="J86" s="5">
        <f t="shared" si="28"/>
        <v>13035.825000000001</v>
      </c>
      <c r="K86" s="5">
        <v>0</v>
      </c>
      <c r="L86" s="5">
        <f t="shared" si="29"/>
        <v>0</v>
      </c>
      <c r="M86" s="38" t="s">
        <v>653</v>
      </c>
      <c r="Z86" s="22">
        <f t="shared" si="30"/>
        <v>0</v>
      </c>
      <c r="AB86" s="22">
        <f t="shared" si="31"/>
        <v>0</v>
      </c>
      <c r="AC86" s="22">
        <f t="shared" si="32"/>
        <v>13035.825000000001</v>
      </c>
      <c r="AD86" s="22">
        <f t="shared" si="33"/>
        <v>0</v>
      </c>
      <c r="AE86" s="22">
        <f t="shared" si="34"/>
        <v>0</v>
      </c>
      <c r="AF86" s="22">
        <f t="shared" si="35"/>
        <v>0</v>
      </c>
      <c r="AG86" s="22">
        <f t="shared" si="36"/>
        <v>0</v>
      </c>
      <c r="AH86" s="22">
        <f t="shared" si="37"/>
        <v>0</v>
      </c>
      <c r="AI86" s="34" t="s">
        <v>658</v>
      </c>
      <c r="AJ86" s="5">
        <f t="shared" si="38"/>
        <v>0</v>
      </c>
      <c r="AK86" s="5">
        <f t="shared" si="39"/>
        <v>0</v>
      </c>
      <c r="AL86" s="5">
        <f t="shared" si="40"/>
        <v>13035.825000000001</v>
      </c>
      <c r="AN86" s="22">
        <v>21</v>
      </c>
      <c r="AO86" s="22">
        <f>G86*0</f>
        <v>0</v>
      </c>
      <c r="AP86" s="22">
        <f>G86*(1-0)</f>
        <v>687</v>
      </c>
      <c r="AQ86" s="38" t="s">
        <v>7</v>
      </c>
      <c r="AV86" s="22">
        <f t="shared" si="41"/>
        <v>13035.825000000001</v>
      </c>
      <c r="AW86" s="22">
        <f t="shared" si="42"/>
        <v>0</v>
      </c>
      <c r="AX86" s="22">
        <f t="shared" si="43"/>
        <v>13035.825000000001</v>
      </c>
      <c r="AY86" s="77" t="s">
        <v>899</v>
      </c>
      <c r="AZ86" s="77" t="s">
        <v>919</v>
      </c>
      <c r="BA86" s="34" t="s">
        <v>934</v>
      </c>
      <c r="BC86" s="22">
        <f t="shared" si="44"/>
        <v>13035.825000000001</v>
      </c>
      <c r="BD86" s="22">
        <f t="shared" si="45"/>
        <v>687</v>
      </c>
      <c r="BE86" s="22">
        <v>0</v>
      </c>
      <c r="BF86" s="22">
        <f t="shared" si="46"/>
        <v>0</v>
      </c>
      <c r="BH86" s="5">
        <f t="shared" si="47"/>
        <v>0</v>
      </c>
      <c r="BI86" s="5">
        <f t="shared" si="48"/>
        <v>13035.825000000001</v>
      </c>
      <c r="BJ86" s="5">
        <f t="shared" si="49"/>
        <v>13035.825000000001</v>
      </c>
    </row>
    <row r="87" spans="1:62">
      <c r="A87" s="1" t="s">
        <v>53</v>
      </c>
      <c r="B87" s="1" t="s">
        <v>658</v>
      </c>
      <c r="C87" s="1" t="s">
        <v>271</v>
      </c>
      <c r="D87" s="1" t="s">
        <v>466</v>
      </c>
      <c r="E87" s="1" t="s">
        <v>637</v>
      </c>
      <c r="F87" s="5">
        <f>'Rozpočet - vybrané sloupce'!AN67</f>
        <v>3</v>
      </c>
      <c r="G87" s="5">
        <f>'Rozpočet - vybrané sloupce'!AS67</f>
        <v>39.5</v>
      </c>
      <c r="H87" s="5">
        <f t="shared" si="26"/>
        <v>3.6899999999999977</v>
      </c>
      <c r="I87" s="5">
        <f t="shared" si="27"/>
        <v>114.81</v>
      </c>
      <c r="J87" s="5">
        <f t="shared" si="28"/>
        <v>118.5</v>
      </c>
      <c r="K87" s="5">
        <v>0</v>
      </c>
      <c r="L87" s="5">
        <f t="shared" si="29"/>
        <v>0</v>
      </c>
      <c r="M87" s="38" t="s">
        <v>653</v>
      </c>
      <c r="Z87" s="22">
        <f t="shared" si="30"/>
        <v>0</v>
      </c>
      <c r="AB87" s="22">
        <f t="shared" si="31"/>
        <v>3.6899999999999977</v>
      </c>
      <c r="AC87" s="22">
        <f t="shared" si="32"/>
        <v>114.81</v>
      </c>
      <c r="AD87" s="22">
        <f t="shared" si="33"/>
        <v>0</v>
      </c>
      <c r="AE87" s="22">
        <f t="shared" si="34"/>
        <v>0</v>
      </c>
      <c r="AF87" s="22">
        <f t="shared" si="35"/>
        <v>0</v>
      </c>
      <c r="AG87" s="22">
        <f t="shared" si="36"/>
        <v>0</v>
      </c>
      <c r="AH87" s="22">
        <f t="shared" si="37"/>
        <v>0</v>
      </c>
      <c r="AI87" s="34" t="s">
        <v>658</v>
      </c>
      <c r="AJ87" s="5">
        <f t="shared" si="38"/>
        <v>0</v>
      </c>
      <c r="AK87" s="5">
        <f t="shared" si="39"/>
        <v>0</v>
      </c>
      <c r="AL87" s="5">
        <f t="shared" si="40"/>
        <v>118.5</v>
      </c>
      <c r="AN87" s="22">
        <v>21</v>
      </c>
      <c r="AO87" s="22">
        <f>G87*0.0311392405063291</f>
        <v>1.2299999999999993</v>
      </c>
      <c r="AP87" s="22">
        <f>G87*(1-0.0311392405063291)</f>
        <v>38.270000000000003</v>
      </c>
      <c r="AQ87" s="38" t="s">
        <v>7</v>
      </c>
      <c r="AV87" s="22">
        <f t="shared" si="41"/>
        <v>118.5</v>
      </c>
      <c r="AW87" s="22">
        <f t="shared" si="42"/>
        <v>3.6899999999999977</v>
      </c>
      <c r="AX87" s="22">
        <f t="shared" si="43"/>
        <v>114.81</v>
      </c>
      <c r="AY87" s="77" t="s">
        <v>899</v>
      </c>
      <c r="AZ87" s="77" t="s">
        <v>919</v>
      </c>
      <c r="BA87" s="34" t="s">
        <v>934</v>
      </c>
      <c r="BC87" s="22">
        <f t="shared" si="44"/>
        <v>118.5</v>
      </c>
      <c r="BD87" s="22">
        <f t="shared" si="45"/>
        <v>39.5</v>
      </c>
      <c r="BE87" s="22">
        <v>0</v>
      </c>
      <c r="BF87" s="22">
        <f t="shared" si="46"/>
        <v>0</v>
      </c>
      <c r="BH87" s="5">
        <f t="shared" si="47"/>
        <v>3.6899999999999977</v>
      </c>
      <c r="BI87" s="5">
        <f t="shared" si="48"/>
        <v>114.81</v>
      </c>
      <c r="BJ87" s="5">
        <f t="shared" si="49"/>
        <v>118.5</v>
      </c>
    </row>
    <row r="88" spans="1:62">
      <c r="A88" s="1" t="s">
        <v>54</v>
      </c>
      <c r="B88" s="1" t="s">
        <v>658</v>
      </c>
      <c r="C88" s="1" t="s">
        <v>272</v>
      </c>
      <c r="D88" s="1" t="s">
        <v>467</v>
      </c>
      <c r="E88" s="1" t="s">
        <v>637</v>
      </c>
      <c r="F88" s="5">
        <f>'Rozpočet - vybrané sloupce'!AN68</f>
        <v>3</v>
      </c>
      <c r="G88" s="5">
        <f>'Rozpočet - vybrané sloupce'!AS68</f>
        <v>236.51</v>
      </c>
      <c r="H88" s="5">
        <f t="shared" si="26"/>
        <v>0</v>
      </c>
      <c r="I88" s="5">
        <f t="shared" si="27"/>
        <v>709.53</v>
      </c>
      <c r="J88" s="5">
        <f t="shared" si="28"/>
        <v>709.53</v>
      </c>
      <c r="K88" s="5">
        <v>0</v>
      </c>
      <c r="L88" s="5">
        <f t="shared" si="29"/>
        <v>0</v>
      </c>
      <c r="M88" s="38" t="s">
        <v>653</v>
      </c>
      <c r="Z88" s="22">
        <f t="shared" si="30"/>
        <v>0</v>
      </c>
      <c r="AB88" s="22">
        <f t="shared" si="31"/>
        <v>0</v>
      </c>
      <c r="AC88" s="22">
        <f t="shared" si="32"/>
        <v>709.53</v>
      </c>
      <c r="AD88" s="22">
        <f t="shared" si="33"/>
        <v>0</v>
      </c>
      <c r="AE88" s="22">
        <f t="shared" si="34"/>
        <v>0</v>
      </c>
      <c r="AF88" s="22">
        <f t="shared" si="35"/>
        <v>0</v>
      </c>
      <c r="AG88" s="22">
        <f t="shared" si="36"/>
        <v>0</v>
      </c>
      <c r="AH88" s="22">
        <f t="shared" si="37"/>
        <v>0</v>
      </c>
      <c r="AI88" s="34" t="s">
        <v>658</v>
      </c>
      <c r="AJ88" s="5">
        <f t="shared" si="38"/>
        <v>0</v>
      </c>
      <c r="AK88" s="5">
        <f t="shared" si="39"/>
        <v>0</v>
      </c>
      <c r="AL88" s="5">
        <f t="shared" si="40"/>
        <v>709.53</v>
      </c>
      <c r="AN88" s="22">
        <v>21</v>
      </c>
      <c r="AO88" s="22">
        <f>G88*0</f>
        <v>0</v>
      </c>
      <c r="AP88" s="22">
        <f>G88*(1-0)</f>
        <v>236.51</v>
      </c>
      <c r="AQ88" s="38" t="s">
        <v>7</v>
      </c>
      <c r="AV88" s="22">
        <f t="shared" si="41"/>
        <v>709.53</v>
      </c>
      <c r="AW88" s="22">
        <f t="shared" si="42"/>
        <v>0</v>
      </c>
      <c r="AX88" s="22">
        <f t="shared" si="43"/>
        <v>709.53</v>
      </c>
      <c r="AY88" s="77" t="s">
        <v>899</v>
      </c>
      <c r="AZ88" s="77" t="s">
        <v>919</v>
      </c>
      <c r="BA88" s="34" t="s">
        <v>934</v>
      </c>
      <c r="BC88" s="22">
        <f t="shared" si="44"/>
        <v>709.53</v>
      </c>
      <c r="BD88" s="22">
        <f t="shared" si="45"/>
        <v>236.51</v>
      </c>
      <c r="BE88" s="22">
        <v>0</v>
      </c>
      <c r="BF88" s="22">
        <f t="shared" si="46"/>
        <v>0</v>
      </c>
      <c r="BH88" s="5">
        <f t="shared" si="47"/>
        <v>0</v>
      </c>
      <c r="BI88" s="5">
        <f t="shared" si="48"/>
        <v>709.53</v>
      </c>
      <c r="BJ88" s="5">
        <f t="shared" si="49"/>
        <v>709.53</v>
      </c>
    </row>
    <row r="89" spans="1:62">
      <c r="A89" s="1" t="s">
        <v>55</v>
      </c>
      <c r="B89" s="1" t="s">
        <v>658</v>
      </c>
      <c r="C89" s="1" t="s">
        <v>273</v>
      </c>
      <c r="D89" s="1" t="s">
        <v>468</v>
      </c>
      <c r="E89" s="1" t="s">
        <v>637</v>
      </c>
      <c r="F89" s="5">
        <f>'Rozpočet - vybrané sloupce'!AN69</f>
        <v>3010</v>
      </c>
      <c r="G89" s="5">
        <f>'Rozpočet - vybrané sloupce'!AS69</f>
        <v>4.95</v>
      </c>
      <c r="H89" s="5">
        <f t="shared" si="26"/>
        <v>240.80000000000058</v>
      </c>
      <c r="I89" s="5">
        <f t="shared" si="27"/>
        <v>14658.7</v>
      </c>
      <c r="J89" s="5">
        <f t="shared" si="28"/>
        <v>14899.5</v>
      </c>
      <c r="K89" s="5">
        <v>0</v>
      </c>
      <c r="L89" s="5">
        <f t="shared" si="29"/>
        <v>0</v>
      </c>
      <c r="M89" s="38" t="s">
        <v>654</v>
      </c>
      <c r="Z89" s="22">
        <f t="shared" si="30"/>
        <v>0</v>
      </c>
      <c r="AB89" s="22">
        <f t="shared" si="31"/>
        <v>240.80000000000058</v>
      </c>
      <c r="AC89" s="22">
        <f t="shared" si="32"/>
        <v>14658.7</v>
      </c>
      <c r="AD89" s="22">
        <f t="shared" si="33"/>
        <v>0</v>
      </c>
      <c r="AE89" s="22">
        <f t="shared" si="34"/>
        <v>0</v>
      </c>
      <c r="AF89" s="22">
        <f t="shared" si="35"/>
        <v>0</v>
      </c>
      <c r="AG89" s="22">
        <f t="shared" si="36"/>
        <v>0</v>
      </c>
      <c r="AH89" s="22">
        <f t="shared" si="37"/>
        <v>0</v>
      </c>
      <c r="AI89" s="34" t="s">
        <v>658</v>
      </c>
      <c r="AJ89" s="5">
        <f t="shared" si="38"/>
        <v>0</v>
      </c>
      <c r="AK89" s="5">
        <f t="shared" si="39"/>
        <v>0</v>
      </c>
      <c r="AL89" s="5">
        <f t="shared" si="40"/>
        <v>14899.5</v>
      </c>
      <c r="AN89" s="22">
        <v>21</v>
      </c>
      <c r="AO89" s="22">
        <f>G89*0.0161616161616162</f>
        <v>8.0000000000000196E-2</v>
      </c>
      <c r="AP89" s="22">
        <f>G89*(1-0.0161616161616162)</f>
        <v>4.87</v>
      </c>
      <c r="AQ89" s="38" t="s">
        <v>7</v>
      </c>
      <c r="AV89" s="22">
        <f t="shared" si="41"/>
        <v>14899.500000000002</v>
      </c>
      <c r="AW89" s="22">
        <f t="shared" si="42"/>
        <v>240.80000000000058</v>
      </c>
      <c r="AX89" s="22">
        <f t="shared" si="43"/>
        <v>14658.7</v>
      </c>
      <c r="AY89" s="77" t="s">
        <v>899</v>
      </c>
      <c r="AZ89" s="77" t="s">
        <v>919</v>
      </c>
      <c r="BA89" s="34" t="s">
        <v>934</v>
      </c>
      <c r="BC89" s="22">
        <f t="shared" si="44"/>
        <v>14899.500000000002</v>
      </c>
      <c r="BD89" s="22">
        <f t="shared" si="45"/>
        <v>4.95</v>
      </c>
      <c r="BE89" s="22">
        <v>0</v>
      </c>
      <c r="BF89" s="22">
        <f t="shared" si="46"/>
        <v>0</v>
      </c>
      <c r="BH89" s="5">
        <f t="shared" si="47"/>
        <v>240.80000000000058</v>
      </c>
      <c r="BI89" s="5">
        <f t="shared" si="48"/>
        <v>14658.7</v>
      </c>
      <c r="BJ89" s="5">
        <f t="shared" si="49"/>
        <v>14899.5</v>
      </c>
    </row>
    <row r="90" spans="1:62">
      <c r="A90" s="1" t="s">
        <v>56</v>
      </c>
      <c r="B90" s="1" t="s">
        <v>658</v>
      </c>
      <c r="C90" s="1" t="s">
        <v>274</v>
      </c>
      <c r="D90" s="1" t="s">
        <v>469</v>
      </c>
      <c r="E90" s="1" t="s">
        <v>636</v>
      </c>
      <c r="F90" s="5">
        <f>'Rozpočet - vybrané sloupce'!AN70</f>
        <v>759</v>
      </c>
      <c r="G90" s="5">
        <f>'Rozpočet - vybrané sloupce'!AS70</f>
        <v>23.7</v>
      </c>
      <c r="H90" s="5">
        <f t="shared" si="26"/>
        <v>0</v>
      </c>
      <c r="I90" s="5">
        <f t="shared" si="27"/>
        <v>17988.3</v>
      </c>
      <c r="J90" s="5">
        <f t="shared" si="28"/>
        <v>17988.3</v>
      </c>
      <c r="K90" s="5">
        <v>0</v>
      </c>
      <c r="L90" s="5">
        <f t="shared" si="29"/>
        <v>0</v>
      </c>
      <c r="M90" s="38" t="s">
        <v>654</v>
      </c>
      <c r="Z90" s="22">
        <f t="shared" si="30"/>
        <v>0</v>
      </c>
      <c r="AB90" s="22">
        <f t="shared" si="31"/>
        <v>0</v>
      </c>
      <c r="AC90" s="22">
        <f t="shared" si="32"/>
        <v>17988.3</v>
      </c>
      <c r="AD90" s="22">
        <f t="shared" si="33"/>
        <v>0</v>
      </c>
      <c r="AE90" s="22">
        <f t="shared" si="34"/>
        <v>0</v>
      </c>
      <c r="AF90" s="22">
        <f t="shared" si="35"/>
        <v>0</v>
      </c>
      <c r="AG90" s="22">
        <f t="shared" si="36"/>
        <v>0</v>
      </c>
      <c r="AH90" s="22">
        <f t="shared" si="37"/>
        <v>0</v>
      </c>
      <c r="AI90" s="34" t="s">
        <v>658</v>
      </c>
      <c r="AJ90" s="5">
        <f t="shared" si="38"/>
        <v>0</v>
      </c>
      <c r="AK90" s="5">
        <f t="shared" si="39"/>
        <v>0</v>
      </c>
      <c r="AL90" s="5">
        <f t="shared" si="40"/>
        <v>17988.3</v>
      </c>
      <c r="AN90" s="22">
        <v>21</v>
      </c>
      <c r="AO90" s="22">
        <f t="shared" ref="AO90:AO135" si="50">G90*0</f>
        <v>0</v>
      </c>
      <c r="AP90" s="22">
        <f t="shared" ref="AP90:AP135" si="51">G90*(1-0)</f>
        <v>23.7</v>
      </c>
      <c r="AQ90" s="38" t="s">
        <v>7</v>
      </c>
      <c r="AV90" s="22">
        <f t="shared" si="41"/>
        <v>17988.3</v>
      </c>
      <c r="AW90" s="22">
        <f t="shared" si="42"/>
        <v>0</v>
      </c>
      <c r="AX90" s="22">
        <f t="shared" si="43"/>
        <v>17988.3</v>
      </c>
      <c r="AY90" s="77" t="s">
        <v>899</v>
      </c>
      <c r="AZ90" s="77" t="s">
        <v>919</v>
      </c>
      <c r="BA90" s="34" t="s">
        <v>934</v>
      </c>
      <c r="BC90" s="22">
        <f t="shared" si="44"/>
        <v>17988.3</v>
      </c>
      <c r="BD90" s="22">
        <f t="shared" si="45"/>
        <v>23.7</v>
      </c>
      <c r="BE90" s="22">
        <v>0</v>
      </c>
      <c r="BF90" s="22">
        <f t="shared" si="46"/>
        <v>0</v>
      </c>
      <c r="BH90" s="5">
        <f t="shared" si="47"/>
        <v>0</v>
      </c>
      <c r="BI90" s="5">
        <f t="shared" si="48"/>
        <v>17988.3</v>
      </c>
      <c r="BJ90" s="5">
        <f t="shared" si="49"/>
        <v>17988.3</v>
      </c>
    </row>
    <row r="91" spans="1:62">
      <c r="A91" s="1" t="s">
        <v>57</v>
      </c>
      <c r="B91" s="1" t="s">
        <v>658</v>
      </c>
      <c r="C91" s="1" t="s">
        <v>275</v>
      </c>
      <c r="D91" s="1" t="s">
        <v>470</v>
      </c>
      <c r="E91" s="1" t="s">
        <v>637</v>
      </c>
      <c r="F91" s="5">
        <f>'Rozpočet - vybrané sloupce'!AN71</f>
        <v>3010</v>
      </c>
      <c r="G91" s="5">
        <f>'Rozpočet - vybrané sloupce'!AS71</f>
        <v>12</v>
      </c>
      <c r="H91" s="5">
        <f t="shared" si="26"/>
        <v>0</v>
      </c>
      <c r="I91" s="5">
        <f t="shared" si="27"/>
        <v>36120</v>
      </c>
      <c r="J91" s="5">
        <f t="shared" si="28"/>
        <v>36120</v>
      </c>
      <c r="K91" s="5">
        <v>0</v>
      </c>
      <c r="L91" s="5">
        <f t="shared" si="29"/>
        <v>0</v>
      </c>
      <c r="M91" s="38" t="s">
        <v>653</v>
      </c>
      <c r="Z91" s="22">
        <f t="shared" si="30"/>
        <v>0</v>
      </c>
      <c r="AB91" s="22">
        <f t="shared" si="31"/>
        <v>0</v>
      </c>
      <c r="AC91" s="22">
        <f t="shared" si="32"/>
        <v>36120</v>
      </c>
      <c r="AD91" s="22">
        <f t="shared" si="33"/>
        <v>0</v>
      </c>
      <c r="AE91" s="22">
        <f t="shared" si="34"/>
        <v>0</v>
      </c>
      <c r="AF91" s="22">
        <f t="shared" si="35"/>
        <v>0</v>
      </c>
      <c r="AG91" s="22">
        <f t="shared" si="36"/>
        <v>0</v>
      </c>
      <c r="AH91" s="22">
        <f t="shared" si="37"/>
        <v>0</v>
      </c>
      <c r="AI91" s="34" t="s">
        <v>658</v>
      </c>
      <c r="AJ91" s="5">
        <f t="shared" si="38"/>
        <v>0</v>
      </c>
      <c r="AK91" s="5">
        <f t="shared" si="39"/>
        <v>0</v>
      </c>
      <c r="AL91" s="5">
        <f t="shared" si="40"/>
        <v>36120</v>
      </c>
      <c r="AN91" s="22">
        <v>21</v>
      </c>
      <c r="AO91" s="22">
        <f t="shared" si="50"/>
        <v>0</v>
      </c>
      <c r="AP91" s="22">
        <f t="shared" si="51"/>
        <v>12</v>
      </c>
      <c r="AQ91" s="38" t="s">
        <v>7</v>
      </c>
      <c r="AV91" s="22">
        <f t="shared" si="41"/>
        <v>36120</v>
      </c>
      <c r="AW91" s="22">
        <f t="shared" si="42"/>
        <v>0</v>
      </c>
      <c r="AX91" s="22">
        <f t="shared" si="43"/>
        <v>36120</v>
      </c>
      <c r="AY91" s="77" t="s">
        <v>899</v>
      </c>
      <c r="AZ91" s="77" t="s">
        <v>919</v>
      </c>
      <c r="BA91" s="34" t="s">
        <v>934</v>
      </c>
      <c r="BC91" s="22">
        <f t="shared" si="44"/>
        <v>36120</v>
      </c>
      <c r="BD91" s="22">
        <f t="shared" si="45"/>
        <v>12</v>
      </c>
      <c r="BE91" s="22">
        <v>0</v>
      </c>
      <c r="BF91" s="22">
        <f t="shared" si="46"/>
        <v>0</v>
      </c>
      <c r="BH91" s="5">
        <f t="shared" si="47"/>
        <v>0</v>
      </c>
      <c r="BI91" s="5">
        <f t="shared" si="48"/>
        <v>36120</v>
      </c>
      <c r="BJ91" s="5">
        <f t="shared" si="49"/>
        <v>36120</v>
      </c>
    </row>
    <row r="92" spans="1:62">
      <c r="A92" s="1" t="s">
        <v>58</v>
      </c>
      <c r="B92" s="1" t="s">
        <v>658</v>
      </c>
      <c r="C92" s="1" t="s">
        <v>276</v>
      </c>
      <c r="D92" s="1" t="s">
        <v>471</v>
      </c>
      <c r="E92" s="1" t="s">
        <v>642</v>
      </c>
      <c r="F92" s="5">
        <f>'Rozpočet - vybrané sloupce'!AN72</f>
        <v>200</v>
      </c>
      <c r="G92" s="5">
        <f>'Rozpočet - vybrané sloupce'!AS72</f>
        <v>49</v>
      </c>
      <c r="H92" s="5">
        <f t="shared" si="26"/>
        <v>0</v>
      </c>
      <c r="I92" s="5">
        <f t="shared" si="27"/>
        <v>9800</v>
      </c>
      <c r="J92" s="5">
        <f t="shared" si="28"/>
        <v>9800</v>
      </c>
      <c r="K92" s="5">
        <v>0</v>
      </c>
      <c r="L92" s="5">
        <f t="shared" si="29"/>
        <v>0</v>
      </c>
      <c r="M92" s="38"/>
      <c r="Z92" s="22">
        <f t="shared" si="30"/>
        <v>0</v>
      </c>
      <c r="AB92" s="22">
        <f t="shared" si="31"/>
        <v>0</v>
      </c>
      <c r="AC92" s="22">
        <f t="shared" si="32"/>
        <v>9800</v>
      </c>
      <c r="AD92" s="22">
        <f t="shared" si="33"/>
        <v>0</v>
      </c>
      <c r="AE92" s="22">
        <f t="shared" si="34"/>
        <v>0</v>
      </c>
      <c r="AF92" s="22">
        <f t="shared" si="35"/>
        <v>0</v>
      </c>
      <c r="AG92" s="22">
        <f t="shared" si="36"/>
        <v>0</v>
      </c>
      <c r="AH92" s="22">
        <f t="shared" si="37"/>
        <v>0</v>
      </c>
      <c r="AI92" s="34" t="s">
        <v>658</v>
      </c>
      <c r="AJ92" s="5">
        <f t="shared" si="38"/>
        <v>0</v>
      </c>
      <c r="AK92" s="5">
        <f t="shared" si="39"/>
        <v>0</v>
      </c>
      <c r="AL92" s="5">
        <f t="shared" si="40"/>
        <v>9800</v>
      </c>
      <c r="AN92" s="22">
        <v>21</v>
      </c>
      <c r="AO92" s="22">
        <f t="shared" si="50"/>
        <v>0</v>
      </c>
      <c r="AP92" s="22">
        <f t="shared" si="51"/>
        <v>49</v>
      </c>
      <c r="AQ92" s="38" t="s">
        <v>7</v>
      </c>
      <c r="AV92" s="22">
        <f t="shared" si="41"/>
        <v>9800</v>
      </c>
      <c r="AW92" s="22">
        <f t="shared" si="42"/>
        <v>0</v>
      </c>
      <c r="AX92" s="22">
        <f t="shared" si="43"/>
        <v>9800</v>
      </c>
      <c r="AY92" s="77" t="s">
        <v>899</v>
      </c>
      <c r="AZ92" s="77" t="s">
        <v>919</v>
      </c>
      <c r="BA92" s="34" t="s">
        <v>934</v>
      </c>
      <c r="BC92" s="22">
        <f t="shared" si="44"/>
        <v>9800</v>
      </c>
      <c r="BD92" s="22">
        <f t="shared" si="45"/>
        <v>49</v>
      </c>
      <c r="BE92" s="22">
        <v>0</v>
      </c>
      <c r="BF92" s="22">
        <f t="shared" si="46"/>
        <v>0</v>
      </c>
      <c r="BH92" s="5">
        <f t="shared" si="47"/>
        <v>0</v>
      </c>
      <c r="BI92" s="5">
        <f t="shared" si="48"/>
        <v>9800</v>
      </c>
      <c r="BJ92" s="5">
        <f t="shared" si="49"/>
        <v>9800</v>
      </c>
    </row>
    <row r="93" spans="1:62">
      <c r="A93" s="1" t="s">
        <v>59</v>
      </c>
      <c r="B93" s="1" t="s">
        <v>658</v>
      </c>
      <c r="C93" s="1" t="s">
        <v>277</v>
      </c>
      <c r="D93" s="1" t="s">
        <v>472</v>
      </c>
      <c r="E93" s="1" t="s">
        <v>642</v>
      </c>
      <c r="F93" s="5">
        <f>'Rozpočet - vybrané sloupce'!AN73</f>
        <v>180</v>
      </c>
      <c r="G93" s="5">
        <f>'Rozpočet - vybrané sloupce'!AS73</f>
        <v>49</v>
      </c>
      <c r="H93" s="5">
        <f t="shared" si="26"/>
        <v>0</v>
      </c>
      <c r="I93" s="5">
        <f t="shared" si="27"/>
        <v>8820</v>
      </c>
      <c r="J93" s="5">
        <f t="shared" si="28"/>
        <v>8820</v>
      </c>
      <c r="K93" s="5">
        <v>0</v>
      </c>
      <c r="L93" s="5">
        <f t="shared" si="29"/>
        <v>0</v>
      </c>
      <c r="M93" s="38"/>
      <c r="Z93" s="22">
        <f t="shared" si="30"/>
        <v>0</v>
      </c>
      <c r="AB93" s="22">
        <f t="shared" si="31"/>
        <v>0</v>
      </c>
      <c r="AC93" s="22">
        <f t="shared" si="32"/>
        <v>8820</v>
      </c>
      <c r="AD93" s="22">
        <f t="shared" si="33"/>
        <v>0</v>
      </c>
      <c r="AE93" s="22">
        <f t="shared" si="34"/>
        <v>0</v>
      </c>
      <c r="AF93" s="22">
        <f t="shared" si="35"/>
        <v>0</v>
      </c>
      <c r="AG93" s="22">
        <f t="shared" si="36"/>
        <v>0</v>
      </c>
      <c r="AH93" s="22">
        <f t="shared" si="37"/>
        <v>0</v>
      </c>
      <c r="AI93" s="34" t="s">
        <v>658</v>
      </c>
      <c r="AJ93" s="5">
        <f t="shared" si="38"/>
        <v>0</v>
      </c>
      <c r="AK93" s="5">
        <f t="shared" si="39"/>
        <v>0</v>
      </c>
      <c r="AL93" s="5">
        <f t="shared" si="40"/>
        <v>8820</v>
      </c>
      <c r="AN93" s="22">
        <v>21</v>
      </c>
      <c r="AO93" s="22">
        <f t="shared" si="50"/>
        <v>0</v>
      </c>
      <c r="AP93" s="22">
        <f t="shared" si="51"/>
        <v>49</v>
      </c>
      <c r="AQ93" s="38" t="s">
        <v>7</v>
      </c>
      <c r="AV93" s="22">
        <f t="shared" si="41"/>
        <v>8820</v>
      </c>
      <c r="AW93" s="22">
        <f t="shared" si="42"/>
        <v>0</v>
      </c>
      <c r="AX93" s="22">
        <f t="shared" si="43"/>
        <v>8820</v>
      </c>
      <c r="AY93" s="77" t="s">
        <v>899</v>
      </c>
      <c r="AZ93" s="77" t="s">
        <v>919</v>
      </c>
      <c r="BA93" s="34" t="s">
        <v>934</v>
      </c>
      <c r="BC93" s="22">
        <f t="shared" si="44"/>
        <v>8820</v>
      </c>
      <c r="BD93" s="22">
        <f t="shared" si="45"/>
        <v>49</v>
      </c>
      <c r="BE93" s="22">
        <v>0</v>
      </c>
      <c r="BF93" s="22">
        <f t="shared" si="46"/>
        <v>0</v>
      </c>
      <c r="BH93" s="5">
        <f t="shared" si="47"/>
        <v>0</v>
      </c>
      <c r="BI93" s="5">
        <f t="shared" si="48"/>
        <v>8820</v>
      </c>
      <c r="BJ93" s="5">
        <f t="shared" si="49"/>
        <v>8820</v>
      </c>
    </row>
    <row r="94" spans="1:62">
      <c r="A94" s="1" t="s">
        <v>60</v>
      </c>
      <c r="B94" s="1" t="s">
        <v>658</v>
      </c>
      <c r="C94" s="1" t="s">
        <v>278</v>
      </c>
      <c r="D94" s="1" t="s">
        <v>473</v>
      </c>
      <c r="E94" s="1" t="s">
        <v>642</v>
      </c>
      <c r="F94" s="5">
        <f>'Rozpočet - vybrané sloupce'!AN74</f>
        <v>140</v>
      </c>
      <c r="G94" s="5">
        <f>'Rozpočet - vybrané sloupce'!AS74</f>
        <v>79</v>
      </c>
      <c r="H94" s="5">
        <f t="shared" si="26"/>
        <v>0</v>
      </c>
      <c r="I94" s="5">
        <f t="shared" si="27"/>
        <v>11060</v>
      </c>
      <c r="J94" s="5">
        <f t="shared" si="28"/>
        <v>11060</v>
      </c>
      <c r="K94" s="5">
        <v>0</v>
      </c>
      <c r="L94" s="5">
        <f t="shared" si="29"/>
        <v>0</v>
      </c>
      <c r="M94" s="38"/>
      <c r="Z94" s="22">
        <f t="shared" si="30"/>
        <v>0</v>
      </c>
      <c r="AB94" s="22">
        <f t="shared" si="31"/>
        <v>0</v>
      </c>
      <c r="AC94" s="22">
        <f t="shared" si="32"/>
        <v>11060</v>
      </c>
      <c r="AD94" s="22">
        <f t="shared" si="33"/>
        <v>0</v>
      </c>
      <c r="AE94" s="22">
        <f t="shared" si="34"/>
        <v>0</v>
      </c>
      <c r="AF94" s="22">
        <f t="shared" si="35"/>
        <v>0</v>
      </c>
      <c r="AG94" s="22">
        <f t="shared" si="36"/>
        <v>0</v>
      </c>
      <c r="AH94" s="22">
        <f t="shared" si="37"/>
        <v>0</v>
      </c>
      <c r="AI94" s="34" t="s">
        <v>658</v>
      </c>
      <c r="AJ94" s="5">
        <f t="shared" si="38"/>
        <v>0</v>
      </c>
      <c r="AK94" s="5">
        <f t="shared" si="39"/>
        <v>0</v>
      </c>
      <c r="AL94" s="5">
        <f t="shared" si="40"/>
        <v>11060</v>
      </c>
      <c r="AN94" s="22">
        <v>21</v>
      </c>
      <c r="AO94" s="22">
        <f t="shared" si="50"/>
        <v>0</v>
      </c>
      <c r="AP94" s="22">
        <f t="shared" si="51"/>
        <v>79</v>
      </c>
      <c r="AQ94" s="38" t="s">
        <v>7</v>
      </c>
      <c r="AV94" s="22">
        <f t="shared" si="41"/>
        <v>11060</v>
      </c>
      <c r="AW94" s="22">
        <f t="shared" si="42"/>
        <v>0</v>
      </c>
      <c r="AX94" s="22">
        <f t="shared" si="43"/>
        <v>11060</v>
      </c>
      <c r="AY94" s="77" t="s">
        <v>899</v>
      </c>
      <c r="AZ94" s="77" t="s">
        <v>919</v>
      </c>
      <c r="BA94" s="34" t="s">
        <v>934</v>
      </c>
      <c r="BC94" s="22">
        <f t="shared" si="44"/>
        <v>11060</v>
      </c>
      <c r="BD94" s="22">
        <f t="shared" si="45"/>
        <v>79</v>
      </c>
      <c r="BE94" s="22">
        <v>0</v>
      </c>
      <c r="BF94" s="22">
        <f t="shared" si="46"/>
        <v>0</v>
      </c>
      <c r="BH94" s="5">
        <f t="shared" si="47"/>
        <v>0</v>
      </c>
      <c r="BI94" s="5">
        <f t="shared" si="48"/>
        <v>11060</v>
      </c>
      <c r="BJ94" s="5">
        <f t="shared" si="49"/>
        <v>11060</v>
      </c>
    </row>
    <row r="95" spans="1:62">
      <c r="A95" s="1" t="s">
        <v>61</v>
      </c>
      <c r="B95" s="1" t="s">
        <v>658</v>
      </c>
      <c r="C95" s="1" t="s">
        <v>279</v>
      </c>
      <c r="D95" s="1" t="s">
        <v>474</v>
      </c>
      <c r="E95" s="1" t="s">
        <v>642</v>
      </c>
      <c r="F95" s="5">
        <f>'Rozpočet - vybrané sloupce'!AN75</f>
        <v>160</v>
      </c>
      <c r="G95" s="5">
        <f>'Rozpočet - vybrané sloupce'!AS75</f>
        <v>53</v>
      </c>
      <c r="H95" s="5">
        <f t="shared" si="26"/>
        <v>0</v>
      </c>
      <c r="I95" s="5">
        <f t="shared" si="27"/>
        <v>8480</v>
      </c>
      <c r="J95" s="5">
        <f t="shared" si="28"/>
        <v>8480</v>
      </c>
      <c r="K95" s="5">
        <v>0</v>
      </c>
      <c r="L95" s="5">
        <f t="shared" si="29"/>
        <v>0</v>
      </c>
      <c r="M95" s="38"/>
      <c r="Z95" s="22">
        <f t="shared" si="30"/>
        <v>0</v>
      </c>
      <c r="AB95" s="22">
        <f t="shared" si="31"/>
        <v>0</v>
      </c>
      <c r="AC95" s="22">
        <f t="shared" si="32"/>
        <v>8480</v>
      </c>
      <c r="AD95" s="22">
        <f t="shared" si="33"/>
        <v>0</v>
      </c>
      <c r="AE95" s="22">
        <f t="shared" si="34"/>
        <v>0</v>
      </c>
      <c r="AF95" s="22">
        <f t="shared" si="35"/>
        <v>0</v>
      </c>
      <c r="AG95" s="22">
        <f t="shared" si="36"/>
        <v>0</v>
      </c>
      <c r="AH95" s="22">
        <f t="shared" si="37"/>
        <v>0</v>
      </c>
      <c r="AI95" s="34" t="s">
        <v>658</v>
      </c>
      <c r="AJ95" s="5">
        <f t="shared" si="38"/>
        <v>0</v>
      </c>
      <c r="AK95" s="5">
        <f t="shared" si="39"/>
        <v>0</v>
      </c>
      <c r="AL95" s="5">
        <f t="shared" si="40"/>
        <v>8480</v>
      </c>
      <c r="AN95" s="22">
        <v>21</v>
      </c>
      <c r="AO95" s="22">
        <f t="shared" si="50"/>
        <v>0</v>
      </c>
      <c r="AP95" s="22">
        <f t="shared" si="51"/>
        <v>53</v>
      </c>
      <c r="AQ95" s="38" t="s">
        <v>7</v>
      </c>
      <c r="AV95" s="22">
        <f t="shared" si="41"/>
        <v>8480</v>
      </c>
      <c r="AW95" s="22">
        <f t="shared" si="42"/>
        <v>0</v>
      </c>
      <c r="AX95" s="22">
        <f t="shared" si="43"/>
        <v>8480</v>
      </c>
      <c r="AY95" s="77" t="s">
        <v>899</v>
      </c>
      <c r="AZ95" s="77" t="s">
        <v>919</v>
      </c>
      <c r="BA95" s="34" t="s">
        <v>934</v>
      </c>
      <c r="BC95" s="22">
        <f t="shared" si="44"/>
        <v>8480</v>
      </c>
      <c r="BD95" s="22">
        <f t="shared" si="45"/>
        <v>53</v>
      </c>
      <c r="BE95" s="22">
        <v>0</v>
      </c>
      <c r="BF95" s="22">
        <f t="shared" si="46"/>
        <v>0</v>
      </c>
      <c r="BH95" s="5">
        <f t="shared" si="47"/>
        <v>0</v>
      </c>
      <c r="BI95" s="5">
        <f t="shared" si="48"/>
        <v>8480</v>
      </c>
      <c r="BJ95" s="5">
        <f t="shared" si="49"/>
        <v>8480</v>
      </c>
    </row>
    <row r="96" spans="1:62">
      <c r="A96" s="1" t="s">
        <v>62</v>
      </c>
      <c r="B96" s="1" t="s">
        <v>658</v>
      </c>
      <c r="C96" s="1" t="s">
        <v>280</v>
      </c>
      <c r="D96" s="1" t="s">
        <v>475</v>
      </c>
      <c r="E96" s="1" t="s">
        <v>642</v>
      </c>
      <c r="F96" s="5">
        <f>'Rozpočet - vybrané sloupce'!AN76</f>
        <v>160</v>
      </c>
      <c r="G96" s="5">
        <f>'Rozpočet - vybrané sloupce'!AS76</f>
        <v>59</v>
      </c>
      <c r="H96" s="5">
        <f t="shared" si="26"/>
        <v>0</v>
      </c>
      <c r="I96" s="5">
        <f t="shared" si="27"/>
        <v>9440</v>
      </c>
      <c r="J96" s="5">
        <f t="shared" si="28"/>
        <v>9440</v>
      </c>
      <c r="K96" s="5">
        <v>0</v>
      </c>
      <c r="L96" s="5">
        <f t="shared" si="29"/>
        <v>0</v>
      </c>
      <c r="M96" s="38"/>
      <c r="Z96" s="22">
        <f t="shared" si="30"/>
        <v>0</v>
      </c>
      <c r="AB96" s="22">
        <f t="shared" si="31"/>
        <v>0</v>
      </c>
      <c r="AC96" s="22">
        <f t="shared" si="32"/>
        <v>9440</v>
      </c>
      <c r="AD96" s="22">
        <f t="shared" si="33"/>
        <v>0</v>
      </c>
      <c r="AE96" s="22">
        <f t="shared" si="34"/>
        <v>0</v>
      </c>
      <c r="AF96" s="22">
        <f t="shared" si="35"/>
        <v>0</v>
      </c>
      <c r="AG96" s="22">
        <f t="shared" si="36"/>
        <v>0</v>
      </c>
      <c r="AH96" s="22">
        <f t="shared" si="37"/>
        <v>0</v>
      </c>
      <c r="AI96" s="34" t="s">
        <v>658</v>
      </c>
      <c r="AJ96" s="5">
        <f t="shared" si="38"/>
        <v>0</v>
      </c>
      <c r="AK96" s="5">
        <f t="shared" si="39"/>
        <v>0</v>
      </c>
      <c r="AL96" s="5">
        <f t="shared" si="40"/>
        <v>9440</v>
      </c>
      <c r="AN96" s="22">
        <v>21</v>
      </c>
      <c r="AO96" s="22">
        <f t="shared" si="50"/>
        <v>0</v>
      </c>
      <c r="AP96" s="22">
        <f t="shared" si="51"/>
        <v>59</v>
      </c>
      <c r="AQ96" s="38" t="s">
        <v>7</v>
      </c>
      <c r="AV96" s="22">
        <f t="shared" si="41"/>
        <v>9440</v>
      </c>
      <c r="AW96" s="22">
        <f t="shared" si="42"/>
        <v>0</v>
      </c>
      <c r="AX96" s="22">
        <f t="shared" si="43"/>
        <v>9440</v>
      </c>
      <c r="AY96" s="77" t="s">
        <v>899</v>
      </c>
      <c r="AZ96" s="77" t="s">
        <v>919</v>
      </c>
      <c r="BA96" s="34" t="s">
        <v>934</v>
      </c>
      <c r="BC96" s="22">
        <f t="shared" si="44"/>
        <v>9440</v>
      </c>
      <c r="BD96" s="22">
        <f t="shared" si="45"/>
        <v>59</v>
      </c>
      <c r="BE96" s="22">
        <v>0</v>
      </c>
      <c r="BF96" s="22">
        <f t="shared" si="46"/>
        <v>0</v>
      </c>
      <c r="BH96" s="5">
        <f t="shared" si="47"/>
        <v>0</v>
      </c>
      <c r="BI96" s="5">
        <f t="shared" si="48"/>
        <v>9440</v>
      </c>
      <c r="BJ96" s="5">
        <f t="shared" si="49"/>
        <v>9440</v>
      </c>
    </row>
    <row r="97" spans="1:62">
      <c r="A97" s="1" t="s">
        <v>63</v>
      </c>
      <c r="B97" s="1" t="s">
        <v>658</v>
      </c>
      <c r="C97" s="1" t="s">
        <v>281</v>
      </c>
      <c r="D97" s="1" t="s">
        <v>476</v>
      </c>
      <c r="E97" s="1" t="s">
        <v>642</v>
      </c>
      <c r="F97" s="5">
        <f>'Rozpočet - vybrané sloupce'!AN77</f>
        <v>200</v>
      </c>
      <c r="G97" s="5">
        <f>'Rozpočet - vybrané sloupce'!AS77</f>
        <v>49</v>
      </c>
      <c r="H97" s="5">
        <f t="shared" si="26"/>
        <v>0</v>
      </c>
      <c r="I97" s="5">
        <f t="shared" si="27"/>
        <v>9800</v>
      </c>
      <c r="J97" s="5">
        <f t="shared" si="28"/>
        <v>9800</v>
      </c>
      <c r="K97" s="5">
        <v>0</v>
      </c>
      <c r="L97" s="5">
        <f t="shared" si="29"/>
        <v>0</v>
      </c>
      <c r="M97" s="38"/>
      <c r="Z97" s="22">
        <f t="shared" si="30"/>
        <v>0</v>
      </c>
      <c r="AB97" s="22">
        <f t="shared" si="31"/>
        <v>0</v>
      </c>
      <c r="AC97" s="22">
        <f t="shared" si="32"/>
        <v>9800</v>
      </c>
      <c r="AD97" s="22">
        <f t="shared" si="33"/>
        <v>0</v>
      </c>
      <c r="AE97" s="22">
        <f t="shared" si="34"/>
        <v>0</v>
      </c>
      <c r="AF97" s="22">
        <f t="shared" si="35"/>
        <v>0</v>
      </c>
      <c r="AG97" s="22">
        <f t="shared" si="36"/>
        <v>0</v>
      </c>
      <c r="AH97" s="22">
        <f t="shared" si="37"/>
        <v>0</v>
      </c>
      <c r="AI97" s="34" t="s">
        <v>658</v>
      </c>
      <c r="AJ97" s="5">
        <f t="shared" si="38"/>
        <v>0</v>
      </c>
      <c r="AK97" s="5">
        <f t="shared" si="39"/>
        <v>0</v>
      </c>
      <c r="AL97" s="5">
        <f t="shared" si="40"/>
        <v>9800</v>
      </c>
      <c r="AN97" s="22">
        <v>21</v>
      </c>
      <c r="AO97" s="22">
        <f t="shared" si="50"/>
        <v>0</v>
      </c>
      <c r="AP97" s="22">
        <f t="shared" si="51"/>
        <v>49</v>
      </c>
      <c r="AQ97" s="38" t="s">
        <v>7</v>
      </c>
      <c r="AV97" s="22">
        <f t="shared" si="41"/>
        <v>9800</v>
      </c>
      <c r="AW97" s="22">
        <f t="shared" si="42"/>
        <v>0</v>
      </c>
      <c r="AX97" s="22">
        <f t="shared" si="43"/>
        <v>9800</v>
      </c>
      <c r="AY97" s="77" t="s">
        <v>899</v>
      </c>
      <c r="AZ97" s="77" t="s">
        <v>919</v>
      </c>
      <c r="BA97" s="34" t="s">
        <v>934</v>
      </c>
      <c r="BC97" s="22">
        <f t="shared" si="44"/>
        <v>9800</v>
      </c>
      <c r="BD97" s="22">
        <f t="shared" si="45"/>
        <v>49</v>
      </c>
      <c r="BE97" s="22">
        <v>0</v>
      </c>
      <c r="BF97" s="22">
        <f t="shared" si="46"/>
        <v>0</v>
      </c>
      <c r="BH97" s="5">
        <f t="shared" si="47"/>
        <v>0</v>
      </c>
      <c r="BI97" s="5">
        <f t="shared" si="48"/>
        <v>9800</v>
      </c>
      <c r="BJ97" s="5">
        <f t="shared" si="49"/>
        <v>9800</v>
      </c>
    </row>
    <row r="98" spans="1:62">
      <c r="A98" s="1" t="s">
        <v>64</v>
      </c>
      <c r="B98" s="1" t="s">
        <v>658</v>
      </c>
      <c r="C98" s="1" t="s">
        <v>282</v>
      </c>
      <c r="D98" s="1" t="s">
        <v>477</v>
      </c>
      <c r="E98" s="1" t="s">
        <v>642</v>
      </c>
      <c r="F98" s="5">
        <f>'Rozpočet - vybrané sloupce'!AN78</f>
        <v>80</v>
      </c>
      <c r="G98" s="5">
        <f>'Rozpočet - vybrané sloupce'!AS78</f>
        <v>48</v>
      </c>
      <c r="H98" s="5">
        <f t="shared" si="26"/>
        <v>0</v>
      </c>
      <c r="I98" s="5">
        <f t="shared" si="27"/>
        <v>3840</v>
      </c>
      <c r="J98" s="5">
        <f t="shared" si="28"/>
        <v>3840</v>
      </c>
      <c r="K98" s="5">
        <v>0</v>
      </c>
      <c r="L98" s="5">
        <f t="shared" si="29"/>
        <v>0</v>
      </c>
      <c r="M98" s="38"/>
      <c r="Z98" s="22">
        <f t="shared" si="30"/>
        <v>0</v>
      </c>
      <c r="AB98" s="22">
        <f t="shared" si="31"/>
        <v>0</v>
      </c>
      <c r="AC98" s="22">
        <f t="shared" si="32"/>
        <v>3840</v>
      </c>
      <c r="AD98" s="22">
        <f t="shared" si="33"/>
        <v>0</v>
      </c>
      <c r="AE98" s="22">
        <f t="shared" si="34"/>
        <v>0</v>
      </c>
      <c r="AF98" s="22">
        <f t="shared" si="35"/>
        <v>0</v>
      </c>
      <c r="AG98" s="22">
        <f t="shared" si="36"/>
        <v>0</v>
      </c>
      <c r="AH98" s="22">
        <f t="shared" si="37"/>
        <v>0</v>
      </c>
      <c r="AI98" s="34" t="s">
        <v>658</v>
      </c>
      <c r="AJ98" s="5">
        <f t="shared" si="38"/>
        <v>0</v>
      </c>
      <c r="AK98" s="5">
        <f t="shared" si="39"/>
        <v>0</v>
      </c>
      <c r="AL98" s="5">
        <f t="shared" si="40"/>
        <v>3840</v>
      </c>
      <c r="AN98" s="22">
        <v>21</v>
      </c>
      <c r="AO98" s="22">
        <f t="shared" si="50"/>
        <v>0</v>
      </c>
      <c r="AP98" s="22">
        <f t="shared" si="51"/>
        <v>48</v>
      </c>
      <c r="AQ98" s="38" t="s">
        <v>7</v>
      </c>
      <c r="AV98" s="22">
        <f t="shared" si="41"/>
        <v>3840</v>
      </c>
      <c r="AW98" s="22">
        <f t="shared" si="42"/>
        <v>0</v>
      </c>
      <c r="AX98" s="22">
        <f t="shared" si="43"/>
        <v>3840</v>
      </c>
      <c r="AY98" s="77" t="s">
        <v>899</v>
      </c>
      <c r="AZ98" s="77" t="s">
        <v>919</v>
      </c>
      <c r="BA98" s="34" t="s">
        <v>934</v>
      </c>
      <c r="BC98" s="22">
        <f t="shared" si="44"/>
        <v>3840</v>
      </c>
      <c r="BD98" s="22">
        <f t="shared" si="45"/>
        <v>48</v>
      </c>
      <c r="BE98" s="22">
        <v>0</v>
      </c>
      <c r="BF98" s="22">
        <f t="shared" si="46"/>
        <v>0</v>
      </c>
      <c r="BH98" s="5">
        <f t="shared" si="47"/>
        <v>0</v>
      </c>
      <c r="BI98" s="5">
        <f t="shared" si="48"/>
        <v>3840</v>
      </c>
      <c r="BJ98" s="5">
        <f t="shared" si="49"/>
        <v>3840</v>
      </c>
    </row>
    <row r="99" spans="1:62">
      <c r="A99" s="1" t="s">
        <v>65</v>
      </c>
      <c r="B99" s="1" t="s">
        <v>658</v>
      </c>
      <c r="C99" s="1" t="s">
        <v>283</v>
      </c>
      <c r="D99" s="1" t="s">
        <v>478</v>
      </c>
      <c r="E99" s="1" t="s">
        <v>642</v>
      </c>
      <c r="F99" s="5">
        <f>'Rozpočet - vybrané sloupce'!AN79</f>
        <v>100</v>
      </c>
      <c r="G99" s="5">
        <f>'Rozpočet - vybrané sloupce'!AS79</f>
        <v>49</v>
      </c>
      <c r="H99" s="5">
        <f t="shared" si="26"/>
        <v>0</v>
      </c>
      <c r="I99" s="5">
        <f t="shared" si="27"/>
        <v>4900</v>
      </c>
      <c r="J99" s="5">
        <f t="shared" si="28"/>
        <v>4900</v>
      </c>
      <c r="K99" s="5">
        <v>0</v>
      </c>
      <c r="L99" s="5">
        <f t="shared" si="29"/>
        <v>0</v>
      </c>
      <c r="M99" s="38"/>
      <c r="Z99" s="22">
        <f t="shared" si="30"/>
        <v>0</v>
      </c>
      <c r="AB99" s="22">
        <f t="shared" si="31"/>
        <v>0</v>
      </c>
      <c r="AC99" s="22">
        <f t="shared" si="32"/>
        <v>4900</v>
      </c>
      <c r="AD99" s="22">
        <f t="shared" si="33"/>
        <v>0</v>
      </c>
      <c r="AE99" s="22">
        <f t="shared" si="34"/>
        <v>0</v>
      </c>
      <c r="AF99" s="22">
        <f t="shared" si="35"/>
        <v>0</v>
      </c>
      <c r="AG99" s="22">
        <f t="shared" si="36"/>
        <v>0</v>
      </c>
      <c r="AH99" s="22">
        <f t="shared" si="37"/>
        <v>0</v>
      </c>
      <c r="AI99" s="34" t="s">
        <v>658</v>
      </c>
      <c r="AJ99" s="5">
        <f t="shared" si="38"/>
        <v>0</v>
      </c>
      <c r="AK99" s="5">
        <f t="shared" si="39"/>
        <v>0</v>
      </c>
      <c r="AL99" s="5">
        <f t="shared" si="40"/>
        <v>4900</v>
      </c>
      <c r="AN99" s="22">
        <v>21</v>
      </c>
      <c r="AO99" s="22">
        <f t="shared" si="50"/>
        <v>0</v>
      </c>
      <c r="AP99" s="22">
        <f t="shared" si="51"/>
        <v>49</v>
      </c>
      <c r="AQ99" s="38" t="s">
        <v>7</v>
      </c>
      <c r="AV99" s="22">
        <f t="shared" si="41"/>
        <v>4900</v>
      </c>
      <c r="AW99" s="22">
        <f t="shared" si="42"/>
        <v>0</v>
      </c>
      <c r="AX99" s="22">
        <f t="shared" si="43"/>
        <v>4900</v>
      </c>
      <c r="AY99" s="77" t="s">
        <v>899</v>
      </c>
      <c r="AZ99" s="77" t="s">
        <v>919</v>
      </c>
      <c r="BA99" s="34" t="s">
        <v>934</v>
      </c>
      <c r="BC99" s="22">
        <f t="shared" si="44"/>
        <v>4900</v>
      </c>
      <c r="BD99" s="22">
        <f t="shared" si="45"/>
        <v>49</v>
      </c>
      <c r="BE99" s="22">
        <v>0</v>
      </c>
      <c r="BF99" s="22">
        <f t="shared" si="46"/>
        <v>0</v>
      </c>
      <c r="BH99" s="5">
        <f t="shared" si="47"/>
        <v>0</v>
      </c>
      <c r="BI99" s="5">
        <f t="shared" si="48"/>
        <v>4900</v>
      </c>
      <c r="BJ99" s="5">
        <f t="shared" si="49"/>
        <v>4900</v>
      </c>
    </row>
    <row r="100" spans="1:62">
      <c r="A100" s="1" t="s">
        <v>66</v>
      </c>
      <c r="B100" s="1" t="s">
        <v>658</v>
      </c>
      <c r="C100" s="1" t="s">
        <v>284</v>
      </c>
      <c r="D100" s="1" t="s">
        <v>479</v>
      </c>
      <c r="E100" s="1" t="s">
        <v>642</v>
      </c>
      <c r="F100" s="5">
        <f>'Rozpočet - vybrané sloupce'!AN80</f>
        <v>60</v>
      </c>
      <c r="G100" s="5">
        <f>'Rozpočet - vybrané sloupce'!AS80</f>
        <v>51</v>
      </c>
      <c r="H100" s="5">
        <f t="shared" si="26"/>
        <v>0</v>
      </c>
      <c r="I100" s="5">
        <f t="shared" si="27"/>
        <v>3060</v>
      </c>
      <c r="J100" s="5">
        <f t="shared" si="28"/>
        <v>3060</v>
      </c>
      <c r="K100" s="5">
        <v>0</v>
      </c>
      <c r="L100" s="5">
        <f t="shared" si="29"/>
        <v>0</v>
      </c>
      <c r="M100" s="38"/>
      <c r="Z100" s="22">
        <f t="shared" si="30"/>
        <v>0</v>
      </c>
      <c r="AB100" s="22">
        <f t="shared" si="31"/>
        <v>0</v>
      </c>
      <c r="AC100" s="22">
        <f t="shared" si="32"/>
        <v>3060</v>
      </c>
      <c r="AD100" s="22">
        <f t="shared" si="33"/>
        <v>0</v>
      </c>
      <c r="AE100" s="22">
        <f t="shared" si="34"/>
        <v>0</v>
      </c>
      <c r="AF100" s="22">
        <f t="shared" si="35"/>
        <v>0</v>
      </c>
      <c r="AG100" s="22">
        <f t="shared" si="36"/>
        <v>0</v>
      </c>
      <c r="AH100" s="22">
        <f t="shared" si="37"/>
        <v>0</v>
      </c>
      <c r="AI100" s="34" t="s">
        <v>658</v>
      </c>
      <c r="AJ100" s="5">
        <f t="shared" si="38"/>
        <v>0</v>
      </c>
      <c r="AK100" s="5">
        <f t="shared" si="39"/>
        <v>0</v>
      </c>
      <c r="AL100" s="5">
        <f t="shared" si="40"/>
        <v>3060</v>
      </c>
      <c r="AN100" s="22">
        <v>21</v>
      </c>
      <c r="AO100" s="22">
        <f t="shared" si="50"/>
        <v>0</v>
      </c>
      <c r="AP100" s="22">
        <f t="shared" si="51"/>
        <v>51</v>
      </c>
      <c r="AQ100" s="38" t="s">
        <v>7</v>
      </c>
      <c r="AV100" s="22">
        <f t="shared" si="41"/>
        <v>3060</v>
      </c>
      <c r="AW100" s="22">
        <f t="shared" si="42"/>
        <v>0</v>
      </c>
      <c r="AX100" s="22">
        <f t="shared" si="43"/>
        <v>3060</v>
      </c>
      <c r="AY100" s="77" t="s">
        <v>899</v>
      </c>
      <c r="AZ100" s="77" t="s">
        <v>919</v>
      </c>
      <c r="BA100" s="34" t="s">
        <v>934</v>
      </c>
      <c r="BC100" s="22">
        <f t="shared" si="44"/>
        <v>3060</v>
      </c>
      <c r="BD100" s="22">
        <f t="shared" si="45"/>
        <v>51</v>
      </c>
      <c r="BE100" s="22">
        <v>0</v>
      </c>
      <c r="BF100" s="22">
        <f t="shared" si="46"/>
        <v>0</v>
      </c>
      <c r="BH100" s="5">
        <f t="shared" si="47"/>
        <v>0</v>
      </c>
      <c r="BI100" s="5">
        <f t="shared" si="48"/>
        <v>3060</v>
      </c>
      <c r="BJ100" s="5">
        <f t="shared" si="49"/>
        <v>3060</v>
      </c>
    </row>
    <row r="101" spans="1:62">
      <c r="A101" s="1" t="s">
        <v>67</v>
      </c>
      <c r="B101" s="1" t="s">
        <v>658</v>
      </c>
      <c r="C101" s="1" t="s">
        <v>285</v>
      </c>
      <c r="D101" s="1" t="s">
        <v>480</v>
      </c>
      <c r="E101" s="1" t="s">
        <v>642</v>
      </c>
      <c r="F101" s="5">
        <f>'Rozpočet - vybrané sloupce'!AN81</f>
        <v>195</v>
      </c>
      <c r="G101" s="5">
        <f>'Rozpočet - vybrané sloupce'!AS81</f>
        <v>47</v>
      </c>
      <c r="H101" s="5">
        <f t="shared" si="26"/>
        <v>0</v>
      </c>
      <c r="I101" s="5">
        <f t="shared" si="27"/>
        <v>9165</v>
      </c>
      <c r="J101" s="5">
        <f t="shared" si="28"/>
        <v>9165</v>
      </c>
      <c r="K101" s="5">
        <v>0</v>
      </c>
      <c r="L101" s="5">
        <f t="shared" si="29"/>
        <v>0</v>
      </c>
      <c r="M101" s="38"/>
      <c r="Z101" s="22">
        <f t="shared" si="30"/>
        <v>0</v>
      </c>
      <c r="AB101" s="22">
        <f t="shared" si="31"/>
        <v>0</v>
      </c>
      <c r="AC101" s="22">
        <f t="shared" si="32"/>
        <v>9165</v>
      </c>
      <c r="AD101" s="22">
        <f t="shared" si="33"/>
        <v>0</v>
      </c>
      <c r="AE101" s="22">
        <f t="shared" si="34"/>
        <v>0</v>
      </c>
      <c r="AF101" s="22">
        <f t="shared" si="35"/>
        <v>0</v>
      </c>
      <c r="AG101" s="22">
        <f t="shared" si="36"/>
        <v>0</v>
      </c>
      <c r="AH101" s="22">
        <f t="shared" si="37"/>
        <v>0</v>
      </c>
      <c r="AI101" s="34" t="s">
        <v>658</v>
      </c>
      <c r="AJ101" s="5">
        <f t="shared" si="38"/>
        <v>0</v>
      </c>
      <c r="AK101" s="5">
        <f t="shared" si="39"/>
        <v>0</v>
      </c>
      <c r="AL101" s="5">
        <f t="shared" si="40"/>
        <v>9165</v>
      </c>
      <c r="AN101" s="22">
        <v>21</v>
      </c>
      <c r="AO101" s="22">
        <f t="shared" si="50"/>
        <v>0</v>
      </c>
      <c r="AP101" s="22">
        <f t="shared" si="51"/>
        <v>47</v>
      </c>
      <c r="AQ101" s="38" t="s">
        <v>7</v>
      </c>
      <c r="AV101" s="22">
        <f t="shared" si="41"/>
        <v>9165</v>
      </c>
      <c r="AW101" s="22">
        <f t="shared" si="42"/>
        <v>0</v>
      </c>
      <c r="AX101" s="22">
        <f t="shared" si="43"/>
        <v>9165</v>
      </c>
      <c r="AY101" s="77" t="s">
        <v>899</v>
      </c>
      <c r="AZ101" s="77" t="s">
        <v>919</v>
      </c>
      <c r="BA101" s="34" t="s">
        <v>934</v>
      </c>
      <c r="BC101" s="22">
        <f t="shared" si="44"/>
        <v>9165</v>
      </c>
      <c r="BD101" s="22">
        <f t="shared" si="45"/>
        <v>47</v>
      </c>
      <c r="BE101" s="22">
        <v>0</v>
      </c>
      <c r="BF101" s="22">
        <f t="shared" si="46"/>
        <v>0</v>
      </c>
      <c r="BH101" s="5">
        <f t="shared" si="47"/>
        <v>0</v>
      </c>
      <c r="BI101" s="5">
        <f t="shared" si="48"/>
        <v>9165</v>
      </c>
      <c r="BJ101" s="5">
        <f t="shared" si="49"/>
        <v>9165</v>
      </c>
    </row>
    <row r="102" spans="1:62">
      <c r="A102" s="1" t="s">
        <v>68</v>
      </c>
      <c r="B102" s="1" t="s">
        <v>658</v>
      </c>
      <c r="C102" s="1" t="s">
        <v>286</v>
      </c>
      <c r="D102" s="1" t="s">
        <v>481</v>
      </c>
      <c r="E102" s="1" t="s">
        <v>642</v>
      </c>
      <c r="F102" s="5">
        <f>'Rozpočet - vybrané sloupce'!AN82</f>
        <v>130</v>
      </c>
      <c r="G102" s="5">
        <f>'Rozpočet - vybrané sloupce'!AS82</f>
        <v>51</v>
      </c>
      <c r="H102" s="5">
        <f t="shared" si="26"/>
        <v>0</v>
      </c>
      <c r="I102" s="5">
        <f t="shared" si="27"/>
        <v>6630</v>
      </c>
      <c r="J102" s="5">
        <f t="shared" si="28"/>
        <v>6630</v>
      </c>
      <c r="K102" s="5">
        <v>0</v>
      </c>
      <c r="L102" s="5">
        <f t="shared" si="29"/>
        <v>0</v>
      </c>
      <c r="M102" s="38"/>
      <c r="Z102" s="22">
        <f t="shared" si="30"/>
        <v>0</v>
      </c>
      <c r="AB102" s="22">
        <f t="shared" si="31"/>
        <v>0</v>
      </c>
      <c r="AC102" s="22">
        <f t="shared" si="32"/>
        <v>6630</v>
      </c>
      <c r="AD102" s="22">
        <f t="shared" si="33"/>
        <v>0</v>
      </c>
      <c r="AE102" s="22">
        <f t="shared" si="34"/>
        <v>0</v>
      </c>
      <c r="AF102" s="22">
        <f t="shared" si="35"/>
        <v>0</v>
      </c>
      <c r="AG102" s="22">
        <f t="shared" si="36"/>
        <v>0</v>
      </c>
      <c r="AH102" s="22">
        <f t="shared" si="37"/>
        <v>0</v>
      </c>
      <c r="AI102" s="34" t="s">
        <v>658</v>
      </c>
      <c r="AJ102" s="5">
        <f t="shared" si="38"/>
        <v>0</v>
      </c>
      <c r="AK102" s="5">
        <f t="shared" si="39"/>
        <v>0</v>
      </c>
      <c r="AL102" s="5">
        <f t="shared" si="40"/>
        <v>6630</v>
      </c>
      <c r="AN102" s="22">
        <v>21</v>
      </c>
      <c r="AO102" s="22">
        <f t="shared" si="50"/>
        <v>0</v>
      </c>
      <c r="AP102" s="22">
        <f t="shared" si="51"/>
        <v>51</v>
      </c>
      <c r="AQ102" s="38" t="s">
        <v>7</v>
      </c>
      <c r="AV102" s="22">
        <f t="shared" si="41"/>
        <v>6630</v>
      </c>
      <c r="AW102" s="22">
        <f t="shared" si="42"/>
        <v>0</v>
      </c>
      <c r="AX102" s="22">
        <f t="shared" si="43"/>
        <v>6630</v>
      </c>
      <c r="AY102" s="77" t="s">
        <v>899</v>
      </c>
      <c r="AZ102" s="77" t="s">
        <v>919</v>
      </c>
      <c r="BA102" s="34" t="s">
        <v>934</v>
      </c>
      <c r="BC102" s="22">
        <f t="shared" si="44"/>
        <v>6630</v>
      </c>
      <c r="BD102" s="22">
        <f t="shared" si="45"/>
        <v>51</v>
      </c>
      <c r="BE102" s="22">
        <v>0</v>
      </c>
      <c r="BF102" s="22">
        <f t="shared" si="46"/>
        <v>0</v>
      </c>
      <c r="BH102" s="5">
        <f t="shared" si="47"/>
        <v>0</v>
      </c>
      <c r="BI102" s="5">
        <f t="shared" si="48"/>
        <v>6630</v>
      </c>
      <c r="BJ102" s="5">
        <f t="shared" si="49"/>
        <v>6630</v>
      </c>
    </row>
    <row r="103" spans="1:62">
      <c r="A103" s="1" t="s">
        <v>69</v>
      </c>
      <c r="B103" s="1" t="s">
        <v>658</v>
      </c>
      <c r="C103" s="1" t="s">
        <v>287</v>
      </c>
      <c r="D103" s="1" t="s">
        <v>482</v>
      </c>
      <c r="E103" s="1" t="s">
        <v>642</v>
      </c>
      <c r="F103" s="5">
        <f>'Rozpočet - vybrané sloupce'!AN83</f>
        <v>390</v>
      </c>
      <c r="G103" s="5">
        <f>'Rozpočet - vybrané sloupce'!AS83</f>
        <v>48</v>
      </c>
      <c r="H103" s="5">
        <f t="shared" si="26"/>
        <v>0</v>
      </c>
      <c r="I103" s="5">
        <f t="shared" si="27"/>
        <v>18720</v>
      </c>
      <c r="J103" s="5">
        <f t="shared" si="28"/>
        <v>18720</v>
      </c>
      <c r="K103" s="5">
        <v>0</v>
      </c>
      <c r="L103" s="5">
        <f t="shared" si="29"/>
        <v>0</v>
      </c>
      <c r="M103" s="38"/>
      <c r="Z103" s="22">
        <f t="shared" si="30"/>
        <v>0</v>
      </c>
      <c r="AB103" s="22">
        <f t="shared" si="31"/>
        <v>0</v>
      </c>
      <c r="AC103" s="22">
        <f t="shared" si="32"/>
        <v>18720</v>
      </c>
      <c r="AD103" s="22">
        <f t="shared" si="33"/>
        <v>0</v>
      </c>
      <c r="AE103" s="22">
        <f t="shared" si="34"/>
        <v>0</v>
      </c>
      <c r="AF103" s="22">
        <f t="shared" si="35"/>
        <v>0</v>
      </c>
      <c r="AG103" s="22">
        <f t="shared" si="36"/>
        <v>0</v>
      </c>
      <c r="AH103" s="22">
        <f t="shared" si="37"/>
        <v>0</v>
      </c>
      <c r="AI103" s="34" t="s">
        <v>658</v>
      </c>
      <c r="AJ103" s="5">
        <f t="shared" si="38"/>
        <v>0</v>
      </c>
      <c r="AK103" s="5">
        <f t="shared" si="39"/>
        <v>0</v>
      </c>
      <c r="AL103" s="5">
        <f t="shared" si="40"/>
        <v>18720</v>
      </c>
      <c r="AN103" s="22">
        <v>21</v>
      </c>
      <c r="AO103" s="22">
        <f t="shared" si="50"/>
        <v>0</v>
      </c>
      <c r="AP103" s="22">
        <f t="shared" si="51"/>
        <v>48</v>
      </c>
      <c r="AQ103" s="38" t="s">
        <v>7</v>
      </c>
      <c r="AV103" s="22">
        <f t="shared" si="41"/>
        <v>18720</v>
      </c>
      <c r="AW103" s="22">
        <f t="shared" si="42"/>
        <v>0</v>
      </c>
      <c r="AX103" s="22">
        <f t="shared" si="43"/>
        <v>18720</v>
      </c>
      <c r="AY103" s="77" t="s">
        <v>899</v>
      </c>
      <c r="AZ103" s="77" t="s">
        <v>919</v>
      </c>
      <c r="BA103" s="34" t="s">
        <v>934</v>
      </c>
      <c r="BC103" s="22">
        <f t="shared" si="44"/>
        <v>18720</v>
      </c>
      <c r="BD103" s="22">
        <f t="shared" si="45"/>
        <v>48</v>
      </c>
      <c r="BE103" s="22">
        <v>0</v>
      </c>
      <c r="BF103" s="22">
        <f t="shared" si="46"/>
        <v>0</v>
      </c>
      <c r="BH103" s="5">
        <f t="shared" si="47"/>
        <v>0</v>
      </c>
      <c r="BI103" s="5">
        <f t="shared" si="48"/>
        <v>18720</v>
      </c>
      <c r="BJ103" s="5">
        <f t="shared" si="49"/>
        <v>18720</v>
      </c>
    </row>
    <row r="104" spans="1:62">
      <c r="A104" s="1" t="s">
        <v>70</v>
      </c>
      <c r="B104" s="1" t="s">
        <v>658</v>
      </c>
      <c r="C104" s="1" t="s">
        <v>288</v>
      </c>
      <c r="D104" s="1" t="s">
        <v>483</v>
      </c>
      <c r="E104" s="1" t="s">
        <v>642</v>
      </c>
      <c r="F104" s="5">
        <f>'Rozpočet - vybrané sloupce'!AN84</f>
        <v>250</v>
      </c>
      <c r="G104" s="5">
        <f>'Rozpočet - vybrané sloupce'!AS84</f>
        <v>98</v>
      </c>
      <c r="H104" s="5">
        <f t="shared" si="26"/>
        <v>0</v>
      </c>
      <c r="I104" s="5">
        <f t="shared" si="27"/>
        <v>24500</v>
      </c>
      <c r="J104" s="5">
        <f t="shared" si="28"/>
        <v>24500</v>
      </c>
      <c r="K104" s="5">
        <v>0</v>
      </c>
      <c r="L104" s="5">
        <f t="shared" si="29"/>
        <v>0</v>
      </c>
      <c r="M104" s="38"/>
      <c r="Z104" s="22">
        <f t="shared" si="30"/>
        <v>0</v>
      </c>
      <c r="AB104" s="22">
        <f t="shared" si="31"/>
        <v>0</v>
      </c>
      <c r="AC104" s="22">
        <f t="shared" si="32"/>
        <v>24500</v>
      </c>
      <c r="AD104" s="22">
        <f t="shared" si="33"/>
        <v>0</v>
      </c>
      <c r="AE104" s="22">
        <f t="shared" si="34"/>
        <v>0</v>
      </c>
      <c r="AF104" s="22">
        <f t="shared" si="35"/>
        <v>0</v>
      </c>
      <c r="AG104" s="22">
        <f t="shared" si="36"/>
        <v>0</v>
      </c>
      <c r="AH104" s="22">
        <f t="shared" si="37"/>
        <v>0</v>
      </c>
      <c r="AI104" s="34" t="s">
        <v>658</v>
      </c>
      <c r="AJ104" s="5">
        <f t="shared" si="38"/>
        <v>0</v>
      </c>
      <c r="AK104" s="5">
        <f t="shared" si="39"/>
        <v>0</v>
      </c>
      <c r="AL104" s="5">
        <f t="shared" si="40"/>
        <v>24500</v>
      </c>
      <c r="AN104" s="22">
        <v>21</v>
      </c>
      <c r="AO104" s="22">
        <f t="shared" si="50"/>
        <v>0</v>
      </c>
      <c r="AP104" s="22">
        <f t="shared" si="51"/>
        <v>98</v>
      </c>
      <c r="AQ104" s="38" t="s">
        <v>7</v>
      </c>
      <c r="AV104" s="22">
        <f t="shared" si="41"/>
        <v>24500</v>
      </c>
      <c r="AW104" s="22">
        <f t="shared" si="42"/>
        <v>0</v>
      </c>
      <c r="AX104" s="22">
        <f t="shared" si="43"/>
        <v>24500</v>
      </c>
      <c r="AY104" s="77" t="s">
        <v>899</v>
      </c>
      <c r="AZ104" s="77" t="s">
        <v>919</v>
      </c>
      <c r="BA104" s="34" t="s">
        <v>934</v>
      </c>
      <c r="BC104" s="22">
        <f t="shared" si="44"/>
        <v>24500</v>
      </c>
      <c r="BD104" s="22">
        <f t="shared" si="45"/>
        <v>98</v>
      </c>
      <c r="BE104" s="22">
        <v>0</v>
      </c>
      <c r="BF104" s="22">
        <f t="shared" si="46"/>
        <v>0</v>
      </c>
      <c r="BH104" s="5">
        <f t="shared" si="47"/>
        <v>0</v>
      </c>
      <c r="BI104" s="5">
        <f t="shared" si="48"/>
        <v>24500</v>
      </c>
      <c r="BJ104" s="5">
        <f t="shared" si="49"/>
        <v>24500</v>
      </c>
    </row>
    <row r="105" spans="1:62">
      <c r="A105" s="1" t="s">
        <v>71</v>
      </c>
      <c r="B105" s="1" t="s">
        <v>658</v>
      </c>
      <c r="C105" s="1" t="s">
        <v>288</v>
      </c>
      <c r="D105" s="1" t="s">
        <v>484</v>
      </c>
      <c r="E105" s="1" t="s">
        <v>642</v>
      </c>
      <c r="F105" s="5">
        <f>'Rozpočet - vybrané sloupce'!AN85</f>
        <v>30</v>
      </c>
      <c r="G105" s="5">
        <f>'Rozpočet - vybrané sloupce'!AS85</f>
        <v>58</v>
      </c>
      <c r="H105" s="5">
        <f t="shared" si="26"/>
        <v>0</v>
      </c>
      <c r="I105" s="5">
        <f t="shared" si="27"/>
        <v>1740</v>
      </c>
      <c r="J105" s="5">
        <f t="shared" si="28"/>
        <v>1740</v>
      </c>
      <c r="K105" s="5">
        <v>0</v>
      </c>
      <c r="L105" s="5">
        <f t="shared" si="29"/>
        <v>0</v>
      </c>
      <c r="M105" s="38"/>
      <c r="Z105" s="22">
        <f t="shared" si="30"/>
        <v>0</v>
      </c>
      <c r="AB105" s="22">
        <f t="shared" si="31"/>
        <v>0</v>
      </c>
      <c r="AC105" s="22">
        <f t="shared" si="32"/>
        <v>1740</v>
      </c>
      <c r="AD105" s="22">
        <f t="shared" si="33"/>
        <v>0</v>
      </c>
      <c r="AE105" s="22">
        <f t="shared" si="34"/>
        <v>0</v>
      </c>
      <c r="AF105" s="22">
        <f t="shared" si="35"/>
        <v>0</v>
      </c>
      <c r="AG105" s="22">
        <f t="shared" si="36"/>
        <v>0</v>
      </c>
      <c r="AH105" s="22">
        <f t="shared" si="37"/>
        <v>0</v>
      </c>
      <c r="AI105" s="34" t="s">
        <v>658</v>
      </c>
      <c r="AJ105" s="5">
        <f t="shared" si="38"/>
        <v>0</v>
      </c>
      <c r="AK105" s="5">
        <f t="shared" si="39"/>
        <v>0</v>
      </c>
      <c r="AL105" s="5">
        <f t="shared" si="40"/>
        <v>1740</v>
      </c>
      <c r="AN105" s="22">
        <v>21</v>
      </c>
      <c r="AO105" s="22">
        <f t="shared" si="50"/>
        <v>0</v>
      </c>
      <c r="AP105" s="22">
        <f t="shared" si="51"/>
        <v>58</v>
      </c>
      <c r="AQ105" s="38" t="s">
        <v>7</v>
      </c>
      <c r="AV105" s="22">
        <f t="shared" si="41"/>
        <v>1740</v>
      </c>
      <c r="AW105" s="22">
        <f t="shared" si="42"/>
        <v>0</v>
      </c>
      <c r="AX105" s="22">
        <f t="shared" si="43"/>
        <v>1740</v>
      </c>
      <c r="AY105" s="77" t="s">
        <v>899</v>
      </c>
      <c r="AZ105" s="77" t="s">
        <v>919</v>
      </c>
      <c r="BA105" s="34" t="s">
        <v>934</v>
      </c>
      <c r="BC105" s="22">
        <f t="shared" si="44"/>
        <v>1740</v>
      </c>
      <c r="BD105" s="22">
        <f t="shared" si="45"/>
        <v>57.999999999999993</v>
      </c>
      <c r="BE105" s="22">
        <v>0</v>
      </c>
      <c r="BF105" s="22">
        <f t="shared" si="46"/>
        <v>0</v>
      </c>
      <c r="BH105" s="5">
        <f t="shared" si="47"/>
        <v>0</v>
      </c>
      <c r="BI105" s="5">
        <f t="shared" si="48"/>
        <v>1740</v>
      </c>
      <c r="BJ105" s="5">
        <f t="shared" si="49"/>
        <v>1740</v>
      </c>
    </row>
    <row r="106" spans="1:62">
      <c r="A106" s="1" t="s">
        <v>72</v>
      </c>
      <c r="B106" s="1" t="s">
        <v>658</v>
      </c>
      <c r="C106" s="1" t="s">
        <v>289</v>
      </c>
      <c r="D106" s="1" t="s">
        <v>485</v>
      </c>
      <c r="E106" s="1" t="s">
        <v>642</v>
      </c>
      <c r="F106" s="5">
        <f>'Rozpočet - vybrané sloupce'!AN86</f>
        <v>30</v>
      </c>
      <c r="G106" s="5">
        <f>'Rozpočet - vybrané sloupce'!AS86</f>
        <v>54</v>
      </c>
      <c r="H106" s="5">
        <f t="shared" si="26"/>
        <v>0</v>
      </c>
      <c r="I106" s="5">
        <f t="shared" si="27"/>
        <v>1620</v>
      </c>
      <c r="J106" s="5">
        <f t="shared" si="28"/>
        <v>1620</v>
      </c>
      <c r="K106" s="5">
        <v>0</v>
      </c>
      <c r="L106" s="5">
        <f t="shared" si="29"/>
        <v>0</v>
      </c>
      <c r="M106" s="38"/>
      <c r="Z106" s="22">
        <f t="shared" si="30"/>
        <v>0</v>
      </c>
      <c r="AB106" s="22">
        <f t="shared" si="31"/>
        <v>0</v>
      </c>
      <c r="AC106" s="22">
        <f t="shared" si="32"/>
        <v>1620</v>
      </c>
      <c r="AD106" s="22">
        <f t="shared" si="33"/>
        <v>0</v>
      </c>
      <c r="AE106" s="22">
        <f t="shared" si="34"/>
        <v>0</v>
      </c>
      <c r="AF106" s="22">
        <f t="shared" si="35"/>
        <v>0</v>
      </c>
      <c r="AG106" s="22">
        <f t="shared" si="36"/>
        <v>0</v>
      </c>
      <c r="AH106" s="22">
        <f t="shared" si="37"/>
        <v>0</v>
      </c>
      <c r="AI106" s="34" t="s">
        <v>658</v>
      </c>
      <c r="AJ106" s="5">
        <f t="shared" si="38"/>
        <v>0</v>
      </c>
      <c r="AK106" s="5">
        <f t="shared" si="39"/>
        <v>0</v>
      </c>
      <c r="AL106" s="5">
        <f t="shared" si="40"/>
        <v>1620</v>
      </c>
      <c r="AN106" s="22">
        <v>21</v>
      </c>
      <c r="AO106" s="22">
        <f t="shared" si="50"/>
        <v>0</v>
      </c>
      <c r="AP106" s="22">
        <f t="shared" si="51"/>
        <v>54</v>
      </c>
      <c r="AQ106" s="38" t="s">
        <v>7</v>
      </c>
      <c r="AV106" s="22">
        <f t="shared" si="41"/>
        <v>1620</v>
      </c>
      <c r="AW106" s="22">
        <f t="shared" si="42"/>
        <v>0</v>
      </c>
      <c r="AX106" s="22">
        <f t="shared" si="43"/>
        <v>1620</v>
      </c>
      <c r="AY106" s="77" t="s">
        <v>899</v>
      </c>
      <c r="AZ106" s="77" t="s">
        <v>919</v>
      </c>
      <c r="BA106" s="34" t="s">
        <v>934</v>
      </c>
      <c r="BC106" s="22">
        <f t="shared" si="44"/>
        <v>1620</v>
      </c>
      <c r="BD106" s="22">
        <f t="shared" si="45"/>
        <v>54</v>
      </c>
      <c r="BE106" s="22">
        <v>0</v>
      </c>
      <c r="BF106" s="22">
        <f t="shared" si="46"/>
        <v>0</v>
      </c>
      <c r="BH106" s="5">
        <f t="shared" si="47"/>
        <v>0</v>
      </c>
      <c r="BI106" s="5">
        <f t="shared" si="48"/>
        <v>1620</v>
      </c>
      <c r="BJ106" s="5">
        <f t="shared" si="49"/>
        <v>1620</v>
      </c>
    </row>
    <row r="107" spans="1:62">
      <c r="A107" s="1" t="s">
        <v>73</v>
      </c>
      <c r="B107" s="1" t="s">
        <v>658</v>
      </c>
      <c r="C107" s="1" t="s">
        <v>290</v>
      </c>
      <c r="D107" s="1" t="s">
        <v>486</v>
      </c>
      <c r="E107" s="1" t="s">
        <v>642</v>
      </c>
      <c r="F107" s="5">
        <f>'Rozpočet - vybrané sloupce'!AN87</f>
        <v>45</v>
      </c>
      <c r="G107" s="5">
        <f>'Rozpočet - vybrané sloupce'!AS87</f>
        <v>51</v>
      </c>
      <c r="H107" s="5">
        <f t="shared" si="26"/>
        <v>0</v>
      </c>
      <c r="I107" s="5">
        <f t="shared" si="27"/>
        <v>2295</v>
      </c>
      <c r="J107" s="5">
        <f t="shared" si="28"/>
        <v>2295</v>
      </c>
      <c r="K107" s="5">
        <v>0</v>
      </c>
      <c r="L107" s="5">
        <f t="shared" si="29"/>
        <v>0</v>
      </c>
      <c r="M107" s="38"/>
      <c r="Z107" s="22">
        <f t="shared" si="30"/>
        <v>0</v>
      </c>
      <c r="AB107" s="22">
        <f t="shared" si="31"/>
        <v>0</v>
      </c>
      <c r="AC107" s="22">
        <f t="shared" si="32"/>
        <v>2295</v>
      </c>
      <c r="AD107" s="22">
        <f t="shared" si="33"/>
        <v>0</v>
      </c>
      <c r="AE107" s="22">
        <f t="shared" si="34"/>
        <v>0</v>
      </c>
      <c r="AF107" s="22">
        <f t="shared" si="35"/>
        <v>0</v>
      </c>
      <c r="AG107" s="22">
        <f t="shared" si="36"/>
        <v>0</v>
      </c>
      <c r="AH107" s="22">
        <f t="shared" si="37"/>
        <v>0</v>
      </c>
      <c r="AI107" s="34" t="s">
        <v>658</v>
      </c>
      <c r="AJ107" s="5">
        <f t="shared" si="38"/>
        <v>0</v>
      </c>
      <c r="AK107" s="5">
        <f t="shared" si="39"/>
        <v>0</v>
      </c>
      <c r="AL107" s="5">
        <f t="shared" si="40"/>
        <v>2295</v>
      </c>
      <c r="AN107" s="22">
        <v>21</v>
      </c>
      <c r="AO107" s="22">
        <f t="shared" si="50"/>
        <v>0</v>
      </c>
      <c r="AP107" s="22">
        <f t="shared" si="51"/>
        <v>51</v>
      </c>
      <c r="AQ107" s="38" t="s">
        <v>7</v>
      </c>
      <c r="AV107" s="22">
        <f t="shared" si="41"/>
        <v>2295</v>
      </c>
      <c r="AW107" s="22">
        <f t="shared" si="42"/>
        <v>0</v>
      </c>
      <c r="AX107" s="22">
        <f t="shared" si="43"/>
        <v>2295</v>
      </c>
      <c r="AY107" s="77" t="s">
        <v>899</v>
      </c>
      <c r="AZ107" s="77" t="s">
        <v>919</v>
      </c>
      <c r="BA107" s="34" t="s">
        <v>934</v>
      </c>
      <c r="BC107" s="22">
        <f t="shared" si="44"/>
        <v>2295</v>
      </c>
      <c r="BD107" s="22">
        <f t="shared" si="45"/>
        <v>51</v>
      </c>
      <c r="BE107" s="22">
        <v>0</v>
      </c>
      <c r="BF107" s="22">
        <f t="shared" si="46"/>
        <v>0</v>
      </c>
      <c r="BH107" s="5">
        <f t="shared" si="47"/>
        <v>0</v>
      </c>
      <c r="BI107" s="5">
        <f t="shared" si="48"/>
        <v>2295</v>
      </c>
      <c r="BJ107" s="5">
        <f t="shared" si="49"/>
        <v>2295</v>
      </c>
    </row>
    <row r="108" spans="1:62">
      <c r="A108" s="1" t="s">
        <v>74</v>
      </c>
      <c r="B108" s="1" t="s">
        <v>658</v>
      </c>
      <c r="C108" s="1" t="s">
        <v>291</v>
      </c>
      <c r="D108" s="1" t="s">
        <v>487</v>
      </c>
      <c r="E108" s="1" t="s">
        <v>642</v>
      </c>
      <c r="F108" s="5">
        <f>'Rozpočet - vybrané sloupce'!AN88</f>
        <v>20</v>
      </c>
      <c r="G108" s="5">
        <f>'Rozpočet - vybrané sloupce'!AS88</f>
        <v>53</v>
      </c>
      <c r="H108" s="5">
        <f t="shared" si="26"/>
        <v>0</v>
      </c>
      <c r="I108" s="5">
        <f t="shared" si="27"/>
        <v>1060</v>
      </c>
      <c r="J108" s="5">
        <f t="shared" si="28"/>
        <v>1060</v>
      </c>
      <c r="K108" s="5">
        <v>0</v>
      </c>
      <c r="L108" s="5">
        <f t="shared" si="29"/>
        <v>0</v>
      </c>
      <c r="M108" s="38"/>
      <c r="Z108" s="22">
        <f t="shared" si="30"/>
        <v>0</v>
      </c>
      <c r="AB108" s="22">
        <f t="shared" si="31"/>
        <v>0</v>
      </c>
      <c r="AC108" s="22">
        <f t="shared" si="32"/>
        <v>1060</v>
      </c>
      <c r="AD108" s="22">
        <f t="shared" si="33"/>
        <v>0</v>
      </c>
      <c r="AE108" s="22">
        <f t="shared" si="34"/>
        <v>0</v>
      </c>
      <c r="AF108" s="22">
        <f t="shared" si="35"/>
        <v>0</v>
      </c>
      <c r="AG108" s="22">
        <f t="shared" si="36"/>
        <v>0</v>
      </c>
      <c r="AH108" s="22">
        <f t="shared" si="37"/>
        <v>0</v>
      </c>
      <c r="AI108" s="34" t="s">
        <v>658</v>
      </c>
      <c r="AJ108" s="5">
        <f t="shared" si="38"/>
        <v>0</v>
      </c>
      <c r="AK108" s="5">
        <f t="shared" si="39"/>
        <v>0</v>
      </c>
      <c r="AL108" s="5">
        <f t="shared" si="40"/>
        <v>1060</v>
      </c>
      <c r="AN108" s="22">
        <v>21</v>
      </c>
      <c r="AO108" s="22">
        <f t="shared" si="50"/>
        <v>0</v>
      </c>
      <c r="AP108" s="22">
        <f t="shared" si="51"/>
        <v>53</v>
      </c>
      <c r="AQ108" s="38" t="s">
        <v>7</v>
      </c>
      <c r="AV108" s="22">
        <f t="shared" si="41"/>
        <v>1060</v>
      </c>
      <c r="AW108" s="22">
        <f t="shared" si="42"/>
        <v>0</v>
      </c>
      <c r="AX108" s="22">
        <f t="shared" si="43"/>
        <v>1060</v>
      </c>
      <c r="AY108" s="77" t="s">
        <v>899</v>
      </c>
      <c r="AZ108" s="77" t="s">
        <v>919</v>
      </c>
      <c r="BA108" s="34" t="s">
        <v>934</v>
      </c>
      <c r="BC108" s="22">
        <f t="shared" si="44"/>
        <v>1060</v>
      </c>
      <c r="BD108" s="22">
        <f t="shared" si="45"/>
        <v>53</v>
      </c>
      <c r="BE108" s="22">
        <v>0</v>
      </c>
      <c r="BF108" s="22">
        <f t="shared" si="46"/>
        <v>0</v>
      </c>
      <c r="BH108" s="5">
        <f t="shared" si="47"/>
        <v>0</v>
      </c>
      <c r="BI108" s="5">
        <f t="shared" si="48"/>
        <v>1060</v>
      </c>
      <c r="BJ108" s="5">
        <f t="shared" si="49"/>
        <v>1060</v>
      </c>
    </row>
    <row r="109" spans="1:62">
      <c r="A109" s="1" t="s">
        <v>75</v>
      </c>
      <c r="B109" s="1" t="s">
        <v>658</v>
      </c>
      <c r="C109" s="1" t="s">
        <v>292</v>
      </c>
      <c r="D109" s="1" t="s">
        <v>488</v>
      </c>
      <c r="E109" s="1" t="s">
        <v>642</v>
      </c>
      <c r="F109" s="5">
        <f>'Rozpočet - vybrané sloupce'!AN89</f>
        <v>20</v>
      </c>
      <c r="G109" s="5">
        <f>'Rozpočet - vybrané sloupce'!AS89</f>
        <v>55</v>
      </c>
      <c r="H109" s="5">
        <f t="shared" si="26"/>
        <v>0</v>
      </c>
      <c r="I109" s="5">
        <f t="shared" si="27"/>
        <v>1100</v>
      </c>
      <c r="J109" s="5">
        <f t="shared" si="28"/>
        <v>1100</v>
      </c>
      <c r="K109" s="5">
        <v>0</v>
      </c>
      <c r="L109" s="5">
        <f t="shared" si="29"/>
        <v>0</v>
      </c>
      <c r="M109" s="38"/>
      <c r="Z109" s="22">
        <f t="shared" si="30"/>
        <v>0</v>
      </c>
      <c r="AB109" s="22">
        <f t="shared" si="31"/>
        <v>0</v>
      </c>
      <c r="AC109" s="22">
        <f t="shared" si="32"/>
        <v>1100</v>
      </c>
      <c r="AD109" s="22">
        <f t="shared" si="33"/>
        <v>0</v>
      </c>
      <c r="AE109" s="22">
        <f t="shared" si="34"/>
        <v>0</v>
      </c>
      <c r="AF109" s="22">
        <f t="shared" si="35"/>
        <v>0</v>
      </c>
      <c r="AG109" s="22">
        <f t="shared" si="36"/>
        <v>0</v>
      </c>
      <c r="AH109" s="22">
        <f t="shared" si="37"/>
        <v>0</v>
      </c>
      <c r="AI109" s="34" t="s">
        <v>658</v>
      </c>
      <c r="AJ109" s="5">
        <f t="shared" si="38"/>
        <v>0</v>
      </c>
      <c r="AK109" s="5">
        <f t="shared" si="39"/>
        <v>0</v>
      </c>
      <c r="AL109" s="5">
        <f t="shared" si="40"/>
        <v>1100</v>
      </c>
      <c r="AN109" s="22">
        <v>21</v>
      </c>
      <c r="AO109" s="22">
        <f t="shared" si="50"/>
        <v>0</v>
      </c>
      <c r="AP109" s="22">
        <f t="shared" si="51"/>
        <v>55</v>
      </c>
      <c r="AQ109" s="38" t="s">
        <v>7</v>
      </c>
      <c r="AV109" s="22">
        <f t="shared" si="41"/>
        <v>1100</v>
      </c>
      <c r="AW109" s="22">
        <f t="shared" si="42"/>
        <v>0</v>
      </c>
      <c r="AX109" s="22">
        <f t="shared" si="43"/>
        <v>1100</v>
      </c>
      <c r="AY109" s="77" t="s">
        <v>899</v>
      </c>
      <c r="AZ109" s="77" t="s">
        <v>919</v>
      </c>
      <c r="BA109" s="34" t="s">
        <v>934</v>
      </c>
      <c r="BC109" s="22">
        <f t="shared" si="44"/>
        <v>1100</v>
      </c>
      <c r="BD109" s="22">
        <f t="shared" si="45"/>
        <v>55.000000000000007</v>
      </c>
      <c r="BE109" s="22">
        <v>0</v>
      </c>
      <c r="BF109" s="22">
        <f t="shared" si="46"/>
        <v>0</v>
      </c>
      <c r="BH109" s="5">
        <f t="shared" si="47"/>
        <v>0</v>
      </c>
      <c r="BI109" s="5">
        <f t="shared" si="48"/>
        <v>1100</v>
      </c>
      <c r="BJ109" s="5">
        <f t="shared" si="49"/>
        <v>1100</v>
      </c>
    </row>
    <row r="110" spans="1:62">
      <c r="A110" s="1" t="s">
        <v>76</v>
      </c>
      <c r="B110" s="1" t="s">
        <v>658</v>
      </c>
      <c r="C110" s="1" t="s">
        <v>293</v>
      </c>
      <c r="D110" s="1" t="s">
        <v>489</v>
      </c>
      <c r="E110" s="1" t="s">
        <v>642</v>
      </c>
      <c r="F110" s="5">
        <f>'Rozpočet - vybrané sloupce'!AN90</f>
        <v>30</v>
      </c>
      <c r="G110" s="5">
        <f>'Rozpočet - vybrané sloupce'!AS90</f>
        <v>52</v>
      </c>
      <c r="H110" s="5">
        <f t="shared" si="26"/>
        <v>0</v>
      </c>
      <c r="I110" s="5">
        <f t="shared" si="27"/>
        <v>1560</v>
      </c>
      <c r="J110" s="5">
        <f t="shared" si="28"/>
        <v>1560</v>
      </c>
      <c r="K110" s="5">
        <v>0</v>
      </c>
      <c r="L110" s="5">
        <f t="shared" si="29"/>
        <v>0</v>
      </c>
      <c r="M110" s="38"/>
      <c r="Z110" s="22">
        <f t="shared" si="30"/>
        <v>0</v>
      </c>
      <c r="AB110" s="22">
        <f t="shared" si="31"/>
        <v>0</v>
      </c>
      <c r="AC110" s="22">
        <f t="shared" si="32"/>
        <v>1560</v>
      </c>
      <c r="AD110" s="22">
        <f t="shared" si="33"/>
        <v>0</v>
      </c>
      <c r="AE110" s="22">
        <f t="shared" si="34"/>
        <v>0</v>
      </c>
      <c r="AF110" s="22">
        <f t="shared" si="35"/>
        <v>0</v>
      </c>
      <c r="AG110" s="22">
        <f t="shared" si="36"/>
        <v>0</v>
      </c>
      <c r="AH110" s="22">
        <f t="shared" si="37"/>
        <v>0</v>
      </c>
      <c r="AI110" s="34" t="s">
        <v>658</v>
      </c>
      <c r="AJ110" s="5">
        <f t="shared" si="38"/>
        <v>0</v>
      </c>
      <c r="AK110" s="5">
        <f t="shared" si="39"/>
        <v>0</v>
      </c>
      <c r="AL110" s="5">
        <f t="shared" si="40"/>
        <v>1560</v>
      </c>
      <c r="AN110" s="22">
        <v>21</v>
      </c>
      <c r="AO110" s="22">
        <f t="shared" si="50"/>
        <v>0</v>
      </c>
      <c r="AP110" s="22">
        <f t="shared" si="51"/>
        <v>52</v>
      </c>
      <c r="AQ110" s="38" t="s">
        <v>7</v>
      </c>
      <c r="AV110" s="22">
        <f t="shared" si="41"/>
        <v>1560</v>
      </c>
      <c r="AW110" s="22">
        <f t="shared" si="42"/>
        <v>0</v>
      </c>
      <c r="AX110" s="22">
        <f t="shared" si="43"/>
        <v>1560</v>
      </c>
      <c r="AY110" s="77" t="s">
        <v>899</v>
      </c>
      <c r="AZ110" s="77" t="s">
        <v>919</v>
      </c>
      <c r="BA110" s="34" t="s">
        <v>934</v>
      </c>
      <c r="BC110" s="22">
        <f t="shared" si="44"/>
        <v>1560</v>
      </c>
      <c r="BD110" s="22">
        <f t="shared" si="45"/>
        <v>52</v>
      </c>
      <c r="BE110" s="22">
        <v>0</v>
      </c>
      <c r="BF110" s="22">
        <f t="shared" si="46"/>
        <v>0</v>
      </c>
      <c r="BH110" s="5">
        <f t="shared" si="47"/>
        <v>0</v>
      </c>
      <c r="BI110" s="5">
        <f t="shared" si="48"/>
        <v>1560</v>
      </c>
      <c r="BJ110" s="5">
        <f t="shared" si="49"/>
        <v>1560</v>
      </c>
    </row>
    <row r="111" spans="1:62">
      <c r="A111" s="1" t="s">
        <v>77</v>
      </c>
      <c r="B111" s="1" t="s">
        <v>658</v>
      </c>
      <c r="C111" s="1" t="s">
        <v>294</v>
      </c>
      <c r="D111" s="1" t="s">
        <v>490</v>
      </c>
      <c r="E111" s="1" t="s">
        <v>642</v>
      </c>
      <c r="F111" s="5">
        <f>'Rozpočet - vybrané sloupce'!AN91</f>
        <v>10</v>
      </c>
      <c r="G111" s="5">
        <f>'Rozpočet - vybrané sloupce'!AS91</f>
        <v>47</v>
      </c>
      <c r="H111" s="5">
        <f t="shared" si="26"/>
        <v>0</v>
      </c>
      <c r="I111" s="5">
        <f t="shared" si="27"/>
        <v>470</v>
      </c>
      <c r="J111" s="5">
        <f t="shared" si="28"/>
        <v>470</v>
      </c>
      <c r="K111" s="5">
        <v>0</v>
      </c>
      <c r="L111" s="5">
        <f t="shared" si="29"/>
        <v>0</v>
      </c>
      <c r="M111" s="38"/>
      <c r="Z111" s="22">
        <f t="shared" si="30"/>
        <v>0</v>
      </c>
      <c r="AB111" s="22">
        <f t="shared" si="31"/>
        <v>0</v>
      </c>
      <c r="AC111" s="22">
        <f t="shared" si="32"/>
        <v>470</v>
      </c>
      <c r="AD111" s="22">
        <f t="shared" si="33"/>
        <v>0</v>
      </c>
      <c r="AE111" s="22">
        <f t="shared" si="34"/>
        <v>0</v>
      </c>
      <c r="AF111" s="22">
        <f t="shared" si="35"/>
        <v>0</v>
      </c>
      <c r="AG111" s="22">
        <f t="shared" si="36"/>
        <v>0</v>
      </c>
      <c r="AH111" s="22">
        <f t="shared" si="37"/>
        <v>0</v>
      </c>
      <c r="AI111" s="34" t="s">
        <v>658</v>
      </c>
      <c r="AJ111" s="5">
        <f t="shared" si="38"/>
        <v>0</v>
      </c>
      <c r="AK111" s="5">
        <f t="shared" si="39"/>
        <v>0</v>
      </c>
      <c r="AL111" s="5">
        <f t="shared" si="40"/>
        <v>470</v>
      </c>
      <c r="AN111" s="22">
        <v>21</v>
      </c>
      <c r="AO111" s="22">
        <f t="shared" si="50"/>
        <v>0</v>
      </c>
      <c r="AP111" s="22">
        <f t="shared" si="51"/>
        <v>47</v>
      </c>
      <c r="AQ111" s="38" t="s">
        <v>7</v>
      </c>
      <c r="AV111" s="22">
        <f t="shared" si="41"/>
        <v>470</v>
      </c>
      <c r="AW111" s="22">
        <f t="shared" si="42"/>
        <v>0</v>
      </c>
      <c r="AX111" s="22">
        <f t="shared" si="43"/>
        <v>470</v>
      </c>
      <c r="AY111" s="77" t="s">
        <v>899</v>
      </c>
      <c r="AZ111" s="77" t="s">
        <v>919</v>
      </c>
      <c r="BA111" s="34" t="s">
        <v>934</v>
      </c>
      <c r="BC111" s="22">
        <f t="shared" si="44"/>
        <v>470</v>
      </c>
      <c r="BD111" s="22">
        <f t="shared" si="45"/>
        <v>47</v>
      </c>
      <c r="BE111" s="22">
        <v>0</v>
      </c>
      <c r="BF111" s="22">
        <f t="shared" si="46"/>
        <v>0</v>
      </c>
      <c r="BH111" s="5">
        <f t="shared" si="47"/>
        <v>0</v>
      </c>
      <c r="BI111" s="5">
        <f t="shared" si="48"/>
        <v>470</v>
      </c>
      <c r="BJ111" s="5">
        <f t="shared" si="49"/>
        <v>470</v>
      </c>
    </row>
    <row r="112" spans="1:62">
      <c r="A112" s="1" t="s">
        <v>78</v>
      </c>
      <c r="B112" s="1" t="s">
        <v>658</v>
      </c>
      <c r="C112" s="1" t="s">
        <v>295</v>
      </c>
      <c r="D112" s="1" t="s">
        <v>491</v>
      </c>
      <c r="E112" s="1" t="s">
        <v>642</v>
      </c>
      <c r="F112" s="5">
        <f>'Rozpočet - vybrané sloupce'!AN92</f>
        <v>50</v>
      </c>
      <c r="G112" s="5">
        <f>'Rozpočet - vybrané sloupce'!AS92</f>
        <v>55</v>
      </c>
      <c r="H112" s="5">
        <f t="shared" si="26"/>
        <v>0</v>
      </c>
      <c r="I112" s="5">
        <f t="shared" si="27"/>
        <v>2750</v>
      </c>
      <c r="J112" s="5">
        <f t="shared" si="28"/>
        <v>2750</v>
      </c>
      <c r="K112" s="5">
        <v>0</v>
      </c>
      <c r="L112" s="5">
        <f t="shared" si="29"/>
        <v>0</v>
      </c>
      <c r="M112" s="38"/>
      <c r="Z112" s="22">
        <f t="shared" si="30"/>
        <v>0</v>
      </c>
      <c r="AB112" s="22">
        <f t="shared" si="31"/>
        <v>0</v>
      </c>
      <c r="AC112" s="22">
        <f t="shared" si="32"/>
        <v>2750</v>
      </c>
      <c r="AD112" s="22">
        <f t="shared" si="33"/>
        <v>0</v>
      </c>
      <c r="AE112" s="22">
        <f t="shared" si="34"/>
        <v>0</v>
      </c>
      <c r="AF112" s="22">
        <f t="shared" si="35"/>
        <v>0</v>
      </c>
      <c r="AG112" s="22">
        <f t="shared" si="36"/>
        <v>0</v>
      </c>
      <c r="AH112" s="22">
        <f t="shared" si="37"/>
        <v>0</v>
      </c>
      <c r="AI112" s="34" t="s">
        <v>658</v>
      </c>
      <c r="AJ112" s="5">
        <f t="shared" si="38"/>
        <v>0</v>
      </c>
      <c r="AK112" s="5">
        <f t="shared" si="39"/>
        <v>0</v>
      </c>
      <c r="AL112" s="5">
        <f t="shared" si="40"/>
        <v>2750</v>
      </c>
      <c r="AN112" s="22">
        <v>21</v>
      </c>
      <c r="AO112" s="22">
        <f t="shared" si="50"/>
        <v>0</v>
      </c>
      <c r="AP112" s="22">
        <f t="shared" si="51"/>
        <v>55</v>
      </c>
      <c r="AQ112" s="38" t="s">
        <v>7</v>
      </c>
      <c r="AV112" s="22">
        <f t="shared" si="41"/>
        <v>2750</v>
      </c>
      <c r="AW112" s="22">
        <f t="shared" si="42"/>
        <v>0</v>
      </c>
      <c r="AX112" s="22">
        <f t="shared" si="43"/>
        <v>2750</v>
      </c>
      <c r="AY112" s="77" t="s">
        <v>899</v>
      </c>
      <c r="AZ112" s="77" t="s">
        <v>919</v>
      </c>
      <c r="BA112" s="34" t="s">
        <v>934</v>
      </c>
      <c r="BC112" s="22">
        <f t="shared" si="44"/>
        <v>2750</v>
      </c>
      <c r="BD112" s="22">
        <f t="shared" si="45"/>
        <v>55.000000000000007</v>
      </c>
      <c r="BE112" s="22">
        <v>0</v>
      </c>
      <c r="BF112" s="22">
        <f t="shared" si="46"/>
        <v>0</v>
      </c>
      <c r="BH112" s="5">
        <f t="shared" si="47"/>
        <v>0</v>
      </c>
      <c r="BI112" s="5">
        <f t="shared" si="48"/>
        <v>2750</v>
      </c>
      <c r="BJ112" s="5">
        <f t="shared" si="49"/>
        <v>2750</v>
      </c>
    </row>
    <row r="113" spans="1:62">
      <c r="A113" s="1" t="s">
        <v>79</v>
      </c>
      <c r="B113" s="1" t="s">
        <v>658</v>
      </c>
      <c r="C113" s="1" t="s">
        <v>296</v>
      </c>
      <c r="D113" s="1" t="s">
        <v>492</v>
      </c>
      <c r="E113" s="1" t="s">
        <v>642</v>
      </c>
      <c r="F113" s="5">
        <f>'Rozpočet - vybrané sloupce'!AN93</f>
        <v>40</v>
      </c>
      <c r="G113" s="5">
        <f>'Rozpočet - vybrané sloupce'!AS93</f>
        <v>49</v>
      </c>
      <c r="H113" s="5">
        <f t="shared" si="26"/>
        <v>0</v>
      </c>
      <c r="I113" s="5">
        <f t="shared" si="27"/>
        <v>1960</v>
      </c>
      <c r="J113" s="5">
        <f t="shared" si="28"/>
        <v>1960</v>
      </c>
      <c r="K113" s="5">
        <v>0</v>
      </c>
      <c r="L113" s="5">
        <f t="shared" si="29"/>
        <v>0</v>
      </c>
      <c r="M113" s="38"/>
      <c r="Z113" s="22">
        <f t="shared" si="30"/>
        <v>0</v>
      </c>
      <c r="AB113" s="22">
        <f t="shared" si="31"/>
        <v>0</v>
      </c>
      <c r="AC113" s="22">
        <f t="shared" si="32"/>
        <v>1960</v>
      </c>
      <c r="AD113" s="22">
        <f t="shared" si="33"/>
        <v>0</v>
      </c>
      <c r="AE113" s="22">
        <f t="shared" si="34"/>
        <v>0</v>
      </c>
      <c r="AF113" s="22">
        <f t="shared" si="35"/>
        <v>0</v>
      </c>
      <c r="AG113" s="22">
        <f t="shared" si="36"/>
        <v>0</v>
      </c>
      <c r="AH113" s="22">
        <f t="shared" si="37"/>
        <v>0</v>
      </c>
      <c r="AI113" s="34" t="s">
        <v>658</v>
      </c>
      <c r="AJ113" s="5">
        <f t="shared" si="38"/>
        <v>0</v>
      </c>
      <c r="AK113" s="5">
        <f t="shared" si="39"/>
        <v>0</v>
      </c>
      <c r="AL113" s="5">
        <f t="shared" si="40"/>
        <v>1960</v>
      </c>
      <c r="AN113" s="22">
        <v>21</v>
      </c>
      <c r="AO113" s="22">
        <f t="shared" si="50"/>
        <v>0</v>
      </c>
      <c r="AP113" s="22">
        <f t="shared" si="51"/>
        <v>49</v>
      </c>
      <c r="AQ113" s="38" t="s">
        <v>7</v>
      </c>
      <c r="AV113" s="22">
        <f t="shared" si="41"/>
        <v>1960</v>
      </c>
      <c r="AW113" s="22">
        <f t="shared" si="42"/>
        <v>0</v>
      </c>
      <c r="AX113" s="22">
        <f t="shared" si="43"/>
        <v>1960</v>
      </c>
      <c r="AY113" s="77" t="s">
        <v>899</v>
      </c>
      <c r="AZ113" s="77" t="s">
        <v>919</v>
      </c>
      <c r="BA113" s="34" t="s">
        <v>934</v>
      </c>
      <c r="BC113" s="22">
        <f t="shared" si="44"/>
        <v>1960</v>
      </c>
      <c r="BD113" s="22">
        <f t="shared" si="45"/>
        <v>49</v>
      </c>
      <c r="BE113" s="22">
        <v>0</v>
      </c>
      <c r="BF113" s="22">
        <f t="shared" si="46"/>
        <v>0</v>
      </c>
      <c r="BH113" s="5">
        <f t="shared" si="47"/>
        <v>0</v>
      </c>
      <c r="BI113" s="5">
        <f t="shared" si="48"/>
        <v>1960</v>
      </c>
      <c r="BJ113" s="5">
        <f t="shared" si="49"/>
        <v>1960</v>
      </c>
    </row>
    <row r="114" spans="1:62">
      <c r="A114" s="1" t="s">
        <v>80</v>
      </c>
      <c r="B114" s="1" t="s">
        <v>658</v>
      </c>
      <c r="C114" s="1" t="s">
        <v>297</v>
      </c>
      <c r="D114" s="1" t="s">
        <v>493</v>
      </c>
      <c r="E114" s="1" t="s">
        <v>642</v>
      </c>
      <c r="F114" s="5">
        <f>'Rozpočet - vybrané sloupce'!AN94</f>
        <v>3</v>
      </c>
      <c r="G114" s="5">
        <f>'Rozpočet - vybrané sloupce'!AS94</f>
        <v>270</v>
      </c>
      <c r="H114" s="5">
        <f t="shared" ref="H114:H135" si="52">F114*AO114</f>
        <v>0</v>
      </c>
      <c r="I114" s="5">
        <f t="shared" ref="I114:I135" si="53">F114*AP114</f>
        <v>810</v>
      </c>
      <c r="J114" s="5">
        <f t="shared" ref="J114:J135" si="54">F114*G114</f>
        <v>810</v>
      </c>
      <c r="K114" s="5">
        <v>0</v>
      </c>
      <c r="L114" s="5">
        <f t="shared" ref="L114:L135" si="55">F114*K114</f>
        <v>0</v>
      </c>
      <c r="M114" s="38"/>
      <c r="Z114" s="22">
        <f t="shared" ref="Z114:Z135" si="56">IF(AQ114="5",BJ114,0)</f>
        <v>0</v>
      </c>
      <c r="AB114" s="22">
        <f t="shared" ref="AB114:AB135" si="57">IF(AQ114="1",BH114,0)</f>
        <v>0</v>
      </c>
      <c r="AC114" s="22">
        <f t="shared" ref="AC114:AC135" si="58">IF(AQ114="1",BI114,0)</f>
        <v>810</v>
      </c>
      <c r="AD114" s="22">
        <f t="shared" ref="AD114:AD135" si="59">IF(AQ114="7",BH114,0)</f>
        <v>0</v>
      </c>
      <c r="AE114" s="22">
        <f t="shared" ref="AE114:AE135" si="60">IF(AQ114="7",BI114,0)</f>
        <v>0</v>
      </c>
      <c r="AF114" s="22">
        <f t="shared" ref="AF114:AF135" si="61">IF(AQ114="2",BH114,0)</f>
        <v>0</v>
      </c>
      <c r="AG114" s="22">
        <f t="shared" ref="AG114:AG135" si="62">IF(AQ114="2",BI114,0)</f>
        <v>0</v>
      </c>
      <c r="AH114" s="22">
        <f t="shared" ref="AH114:AH135" si="63">IF(AQ114="0",BJ114,0)</f>
        <v>0</v>
      </c>
      <c r="AI114" s="34" t="s">
        <v>658</v>
      </c>
      <c r="AJ114" s="5">
        <f t="shared" ref="AJ114:AJ135" si="64">IF(AN114=0,J114,0)</f>
        <v>0</v>
      </c>
      <c r="AK114" s="5">
        <f t="shared" ref="AK114:AK135" si="65">IF(AN114=15,J114,0)</f>
        <v>0</v>
      </c>
      <c r="AL114" s="5">
        <f t="shared" ref="AL114:AL135" si="66">IF(AN114=21,J114,0)</f>
        <v>810</v>
      </c>
      <c r="AN114" s="22">
        <v>21</v>
      </c>
      <c r="AO114" s="22">
        <f t="shared" si="50"/>
        <v>0</v>
      </c>
      <c r="AP114" s="22">
        <f t="shared" si="51"/>
        <v>270</v>
      </c>
      <c r="AQ114" s="38" t="s">
        <v>7</v>
      </c>
      <c r="AV114" s="22">
        <f t="shared" ref="AV114:AV135" si="67">AW114+AX114</f>
        <v>810</v>
      </c>
      <c r="AW114" s="22">
        <f t="shared" ref="AW114:AW135" si="68">F114*AO114</f>
        <v>0</v>
      </c>
      <c r="AX114" s="22">
        <f t="shared" ref="AX114:AX135" si="69">F114*AP114</f>
        <v>810</v>
      </c>
      <c r="AY114" s="77" t="s">
        <v>899</v>
      </c>
      <c r="AZ114" s="77" t="s">
        <v>919</v>
      </c>
      <c r="BA114" s="34" t="s">
        <v>934</v>
      </c>
      <c r="BC114" s="22">
        <f t="shared" ref="BC114:BC135" si="70">AW114+AX114</f>
        <v>810</v>
      </c>
      <c r="BD114" s="22">
        <f t="shared" ref="BD114:BD135" si="71">G114/(100-BE114)*100</f>
        <v>270</v>
      </c>
      <c r="BE114" s="22">
        <v>0</v>
      </c>
      <c r="BF114" s="22">
        <f t="shared" ref="BF114:BF135" si="72">L114</f>
        <v>0</v>
      </c>
      <c r="BH114" s="5">
        <f t="shared" ref="BH114:BH135" si="73">F114*AO114</f>
        <v>0</v>
      </c>
      <c r="BI114" s="5">
        <f t="shared" ref="BI114:BI135" si="74">F114*AP114</f>
        <v>810</v>
      </c>
      <c r="BJ114" s="5">
        <f t="shared" ref="BJ114:BJ135" si="75">F114*G114</f>
        <v>810</v>
      </c>
    </row>
    <row r="115" spans="1:62">
      <c r="A115" s="1" t="s">
        <v>81</v>
      </c>
      <c r="B115" s="1" t="s">
        <v>658</v>
      </c>
      <c r="C115" s="1" t="s">
        <v>298</v>
      </c>
      <c r="D115" s="1" t="s">
        <v>494</v>
      </c>
      <c r="E115" s="1" t="s">
        <v>642</v>
      </c>
      <c r="F115" s="5">
        <f>'Rozpočet - vybrané sloupce'!AN95</f>
        <v>50</v>
      </c>
      <c r="G115" s="5">
        <f>'Rozpočet - vybrané sloupce'!AS95</f>
        <v>48</v>
      </c>
      <c r="H115" s="5">
        <f t="shared" si="52"/>
        <v>0</v>
      </c>
      <c r="I115" s="5">
        <f t="shared" si="53"/>
        <v>2400</v>
      </c>
      <c r="J115" s="5">
        <f t="shared" si="54"/>
        <v>2400</v>
      </c>
      <c r="K115" s="5">
        <v>0</v>
      </c>
      <c r="L115" s="5">
        <f t="shared" si="55"/>
        <v>0</v>
      </c>
      <c r="M115" s="38"/>
      <c r="Z115" s="22">
        <f t="shared" si="56"/>
        <v>0</v>
      </c>
      <c r="AB115" s="22">
        <f t="shared" si="57"/>
        <v>0</v>
      </c>
      <c r="AC115" s="22">
        <f t="shared" si="58"/>
        <v>2400</v>
      </c>
      <c r="AD115" s="22">
        <f t="shared" si="59"/>
        <v>0</v>
      </c>
      <c r="AE115" s="22">
        <f t="shared" si="60"/>
        <v>0</v>
      </c>
      <c r="AF115" s="22">
        <f t="shared" si="61"/>
        <v>0</v>
      </c>
      <c r="AG115" s="22">
        <f t="shared" si="62"/>
        <v>0</v>
      </c>
      <c r="AH115" s="22">
        <f t="shared" si="63"/>
        <v>0</v>
      </c>
      <c r="AI115" s="34" t="s">
        <v>658</v>
      </c>
      <c r="AJ115" s="5">
        <f t="shared" si="64"/>
        <v>0</v>
      </c>
      <c r="AK115" s="5">
        <f t="shared" si="65"/>
        <v>0</v>
      </c>
      <c r="AL115" s="5">
        <f t="shared" si="66"/>
        <v>2400</v>
      </c>
      <c r="AN115" s="22">
        <v>21</v>
      </c>
      <c r="AO115" s="22">
        <f t="shared" si="50"/>
        <v>0</v>
      </c>
      <c r="AP115" s="22">
        <f t="shared" si="51"/>
        <v>48</v>
      </c>
      <c r="AQ115" s="38" t="s">
        <v>7</v>
      </c>
      <c r="AV115" s="22">
        <f t="shared" si="67"/>
        <v>2400</v>
      </c>
      <c r="AW115" s="22">
        <f t="shared" si="68"/>
        <v>0</v>
      </c>
      <c r="AX115" s="22">
        <f t="shared" si="69"/>
        <v>2400</v>
      </c>
      <c r="AY115" s="77" t="s">
        <v>899</v>
      </c>
      <c r="AZ115" s="77" t="s">
        <v>919</v>
      </c>
      <c r="BA115" s="34" t="s">
        <v>934</v>
      </c>
      <c r="BC115" s="22">
        <f t="shared" si="70"/>
        <v>2400</v>
      </c>
      <c r="BD115" s="22">
        <f t="shared" si="71"/>
        <v>48</v>
      </c>
      <c r="BE115" s="22">
        <v>0</v>
      </c>
      <c r="BF115" s="22">
        <f t="shared" si="72"/>
        <v>0</v>
      </c>
      <c r="BH115" s="5">
        <f t="shared" si="73"/>
        <v>0</v>
      </c>
      <c r="BI115" s="5">
        <f t="shared" si="74"/>
        <v>2400</v>
      </c>
      <c r="BJ115" s="5">
        <f t="shared" si="75"/>
        <v>2400</v>
      </c>
    </row>
    <row r="116" spans="1:62">
      <c r="A116" s="1" t="s">
        <v>82</v>
      </c>
      <c r="B116" s="1" t="s">
        <v>658</v>
      </c>
      <c r="C116" s="1" t="s">
        <v>299</v>
      </c>
      <c r="D116" s="1" t="s">
        <v>495</v>
      </c>
      <c r="E116" s="1" t="s">
        <v>642</v>
      </c>
      <c r="F116" s="5">
        <f>'Rozpočet - vybrané sloupce'!AN96</f>
        <v>30</v>
      </c>
      <c r="G116" s="5">
        <f>'Rozpočet - vybrané sloupce'!AS96</f>
        <v>56</v>
      </c>
      <c r="H116" s="5">
        <f t="shared" si="52"/>
        <v>0</v>
      </c>
      <c r="I116" s="5">
        <f t="shared" si="53"/>
        <v>1680</v>
      </c>
      <c r="J116" s="5">
        <f t="shared" si="54"/>
        <v>1680</v>
      </c>
      <c r="K116" s="5">
        <v>0</v>
      </c>
      <c r="L116" s="5">
        <f t="shared" si="55"/>
        <v>0</v>
      </c>
      <c r="M116" s="38"/>
      <c r="Z116" s="22">
        <f t="shared" si="56"/>
        <v>0</v>
      </c>
      <c r="AB116" s="22">
        <f t="shared" si="57"/>
        <v>0</v>
      </c>
      <c r="AC116" s="22">
        <f t="shared" si="58"/>
        <v>1680</v>
      </c>
      <c r="AD116" s="22">
        <f t="shared" si="59"/>
        <v>0</v>
      </c>
      <c r="AE116" s="22">
        <f t="shared" si="60"/>
        <v>0</v>
      </c>
      <c r="AF116" s="22">
        <f t="shared" si="61"/>
        <v>0</v>
      </c>
      <c r="AG116" s="22">
        <f t="shared" si="62"/>
        <v>0</v>
      </c>
      <c r="AH116" s="22">
        <f t="shared" si="63"/>
        <v>0</v>
      </c>
      <c r="AI116" s="34" t="s">
        <v>658</v>
      </c>
      <c r="AJ116" s="5">
        <f t="shared" si="64"/>
        <v>0</v>
      </c>
      <c r="AK116" s="5">
        <f t="shared" si="65"/>
        <v>0</v>
      </c>
      <c r="AL116" s="5">
        <f t="shared" si="66"/>
        <v>1680</v>
      </c>
      <c r="AN116" s="22">
        <v>21</v>
      </c>
      <c r="AO116" s="22">
        <f t="shared" si="50"/>
        <v>0</v>
      </c>
      <c r="AP116" s="22">
        <f t="shared" si="51"/>
        <v>56</v>
      </c>
      <c r="AQ116" s="38" t="s">
        <v>7</v>
      </c>
      <c r="AV116" s="22">
        <f t="shared" si="67"/>
        <v>1680</v>
      </c>
      <c r="AW116" s="22">
        <f t="shared" si="68"/>
        <v>0</v>
      </c>
      <c r="AX116" s="22">
        <f t="shared" si="69"/>
        <v>1680</v>
      </c>
      <c r="AY116" s="77" t="s">
        <v>899</v>
      </c>
      <c r="AZ116" s="77" t="s">
        <v>919</v>
      </c>
      <c r="BA116" s="34" t="s">
        <v>934</v>
      </c>
      <c r="BC116" s="22">
        <f t="shared" si="70"/>
        <v>1680</v>
      </c>
      <c r="BD116" s="22">
        <f t="shared" si="71"/>
        <v>56.000000000000007</v>
      </c>
      <c r="BE116" s="22">
        <v>0</v>
      </c>
      <c r="BF116" s="22">
        <f t="shared" si="72"/>
        <v>0</v>
      </c>
      <c r="BH116" s="5">
        <f t="shared" si="73"/>
        <v>0</v>
      </c>
      <c r="BI116" s="5">
        <f t="shared" si="74"/>
        <v>1680</v>
      </c>
      <c r="BJ116" s="5">
        <f t="shared" si="75"/>
        <v>1680</v>
      </c>
    </row>
    <row r="117" spans="1:62">
      <c r="A117" s="1" t="s">
        <v>83</v>
      </c>
      <c r="B117" s="1" t="s">
        <v>658</v>
      </c>
      <c r="C117" s="1" t="s">
        <v>300</v>
      </c>
      <c r="D117" s="1" t="s">
        <v>496</v>
      </c>
      <c r="E117" s="1" t="s">
        <v>642</v>
      </c>
      <c r="F117" s="5">
        <f>'Rozpočet - vybrané sloupce'!AN97</f>
        <v>100</v>
      </c>
      <c r="G117" s="5">
        <f>'Rozpočet - vybrané sloupce'!AS97</f>
        <v>63</v>
      </c>
      <c r="H117" s="5">
        <f t="shared" si="52"/>
        <v>0</v>
      </c>
      <c r="I117" s="5">
        <f t="shared" si="53"/>
        <v>6300</v>
      </c>
      <c r="J117" s="5">
        <f t="shared" si="54"/>
        <v>6300</v>
      </c>
      <c r="K117" s="5">
        <v>0</v>
      </c>
      <c r="L117" s="5">
        <f t="shared" si="55"/>
        <v>0</v>
      </c>
      <c r="M117" s="38"/>
      <c r="Z117" s="22">
        <f t="shared" si="56"/>
        <v>0</v>
      </c>
      <c r="AB117" s="22">
        <f t="shared" si="57"/>
        <v>0</v>
      </c>
      <c r="AC117" s="22">
        <f t="shared" si="58"/>
        <v>6300</v>
      </c>
      <c r="AD117" s="22">
        <f t="shared" si="59"/>
        <v>0</v>
      </c>
      <c r="AE117" s="22">
        <f t="shared" si="60"/>
        <v>0</v>
      </c>
      <c r="AF117" s="22">
        <f t="shared" si="61"/>
        <v>0</v>
      </c>
      <c r="AG117" s="22">
        <f t="shared" si="62"/>
        <v>0</v>
      </c>
      <c r="AH117" s="22">
        <f t="shared" si="63"/>
        <v>0</v>
      </c>
      <c r="AI117" s="34" t="s">
        <v>658</v>
      </c>
      <c r="AJ117" s="5">
        <f t="shared" si="64"/>
        <v>0</v>
      </c>
      <c r="AK117" s="5">
        <f t="shared" si="65"/>
        <v>0</v>
      </c>
      <c r="AL117" s="5">
        <f t="shared" si="66"/>
        <v>6300</v>
      </c>
      <c r="AN117" s="22">
        <v>21</v>
      </c>
      <c r="AO117" s="22">
        <f t="shared" si="50"/>
        <v>0</v>
      </c>
      <c r="AP117" s="22">
        <f t="shared" si="51"/>
        <v>63</v>
      </c>
      <c r="AQ117" s="38" t="s">
        <v>7</v>
      </c>
      <c r="AV117" s="22">
        <f t="shared" si="67"/>
        <v>6300</v>
      </c>
      <c r="AW117" s="22">
        <f t="shared" si="68"/>
        <v>0</v>
      </c>
      <c r="AX117" s="22">
        <f t="shared" si="69"/>
        <v>6300</v>
      </c>
      <c r="AY117" s="77" t="s">
        <v>899</v>
      </c>
      <c r="AZ117" s="77" t="s">
        <v>919</v>
      </c>
      <c r="BA117" s="34" t="s">
        <v>934</v>
      </c>
      <c r="BC117" s="22">
        <f t="shared" si="70"/>
        <v>6300</v>
      </c>
      <c r="BD117" s="22">
        <f t="shared" si="71"/>
        <v>63</v>
      </c>
      <c r="BE117" s="22">
        <v>0</v>
      </c>
      <c r="BF117" s="22">
        <f t="shared" si="72"/>
        <v>0</v>
      </c>
      <c r="BH117" s="5">
        <f t="shared" si="73"/>
        <v>0</v>
      </c>
      <c r="BI117" s="5">
        <f t="shared" si="74"/>
        <v>6300</v>
      </c>
      <c r="BJ117" s="5">
        <f t="shared" si="75"/>
        <v>6300</v>
      </c>
    </row>
    <row r="118" spans="1:62">
      <c r="A118" s="1" t="s">
        <v>84</v>
      </c>
      <c r="B118" s="1" t="s">
        <v>658</v>
      </c>
      <c r="C118" s="1" t="s">
        <v>301</v>
      </c>
      <c r="D118" s="1" t="s">
        <v>497</v>
      </c>
      <c r="E118" s="1" t="s">
        <v>642</v>
      </c>
      <c r="F118" s="5">
        <f>'Rozpočet - vybrané sloupce'!AN98</f>
        <v>45</v>
      </c>
      <c r="G118" s="5">
        <f>'Rozpočet - vybrané sloupce'!AS98</f>
        <v>48</v>
      </c>
      <c r="H118" s="5">
        <f t="shared" si="52"/>
        <v>0</v>
      </c>
      <c r="I118" s="5">
        <f t="shared" si="53"/>
        <v>2160</v>
      </c>
      <c r="J118" s="5">
        <f t="shared" si="54"/>
        <v>2160</v>
      </c>
      <c r="K118" s="5">
        <v>0</v>
      </c>
      <c r="L118" s="5">
        <f t="shared" si="55"/>
        <v>0</v>
      </c>
      <c r="M118" s="38"/>
      <c r="Z118" s="22">
        <f t="shared" si="56"/>
        <v>0</v>
      </c>
      <c r="AB118" s="22">
        <f t="shared" si="57"/>
        <v>0</v>
      </c>
      <c r="AC118" s="22">
        <f t="shared" si="58"/>
        <v>2160</v>
      </c>
      <c r="AD118" s="22">
        <f t="shared" si="59"/>
        <v>0</v>
      </c>
      <c r="AE118" s="22">
        <f t="shared" si="60"/>
        <v>0</v>
      </c>
      <c r="AF118" s="22">
        <f t="shared" si="61"/>
        <v>0</v>
      </c>
      <c r="AG118" s="22">
        <f t="shared" si="62"/>
        <v>0</v>
      </c>
      <c r="AH118" s="22">
        <f t="shared" si="63"/>
        <v>0</v>
      </c>
      <c r="AI118" s="34" t="s">
        <v>658</v>
      </c>
      <c r="AJ118" s="5">
        <f t="shared" si="64"/>
        <v>0</v>
      </c>
      <c r="AK118" s="5">
        <f t="shared" si="65"/>
        <v>0</v>
      </c>
      <c r="AL118" s="5">
        <f t="shared" si="66"/>
        <v>2160</v>
      </c>
      <c r="AN118" s="22">
        <v>21</v>
      </c>
      <c r="AO118" s="22">
        <f t="shared" si="50"/>
        <v>0</v>
      </c>
      <c r="AP118" s="22">
        <f t="shared" si="51"/>
        <v>48</v>
      </c>
      <c r="AQ118" s="38" t="s">
        <v>7</v>
      </c>
      <c r="AV118" s="22">
        <f t="shared" si="67"/>
        <v>2160</v>
      </c>
      <c r="AW118" s="22">
        <f t="shared" si="68"/>
        <v>0</v>
      </c>
      <c r="AX118" s="22">
        <f t="shared" si="69"/>
        <v>2160</v>
      </c>
      <c r="AY118" s="77" t="s">
        <v>899</v>
      </c>
      <c r="AZ118" s="77" t="s">
        <v>919</v>
      </c>
      <c r="BA118" s="34" t="s">
        <v>934</v>
      </c>
      <c r="BC118" s="22">
        <f t="shared" si="70"/>
        <v>2160</v>
      </c>
      <c r="BD118" s="22">
        <f t="shared" si="71"/>
        <v>48</v>
      </c>
      <c r="BE118" s="22">
        <v>0</v>
      </c>
      <c r="BF118" s="22">
        <f t="shared" si="72"/>
        <v>0</v>
      </c>
      <c r="BH118" s="5">
        <f t="shared" si="73"/>
        <v>0</v>
      </c>
      <c r="BI118" s="5">
        <f t="shared" si="74"/>
        <v>2160</v>
      </c>
      <c r="BJ118" s="5">
        <f t="shared" si="75"/>
        <v>2160</v>
      </c>
    </row>
    <row r="119" spans="1:62">
      <c r="A119" s="1" t="s">
        <v>85</v>
      </c>
      <c r="B119" s="1" t="s">
        <v>658</v>
      </c>
      <c r="C119" s="1" t="s">
        <v>302</v>
      </c>
      <c r="D119" s="1" t="s">
        <v>498</v>
      </c>
      <c r="E119" s="1" t="s">
        <v>642</v>
      </c>
      <c r="F119" s="5">
        <f>'Rozpočet - vybrané sloupce'!AN99</f>
        <v>45</v>
      </c>
      <c r="G119" s="5">
        <f>'Rozpočet - vybrané sloupce'!AS99</f>
        <v>83</v>
      </c>
      <c r="H119" s="5">
        <f t="shared" si="52"/>
        <v>0</v>
      </c>
      <c r="I119" s="5">
        <f t="shared" si="53"/>
        <v>3735</v>
      </c>
      <c r="J119" s="5">
        <f t="shared" si="54"/>
        <v>3735</v>
      </c>
      <c r="K119" s="5">
        <v>0</v>
      </c>
      <c r="L119" s="5">
        <f t="shared" si="55"/>
        <v>0</v>
      </c>
      <c r="M119" s="38"/>
      <c r="Z119" s="22">
        <f t="shared" si="56"/>
        <v>0</v>
      </c>
      <c r="AB119" s="22">
        <f t="shared" si="57"/>
        <v>0</v>
      </c>
      <c r="AC119" s="22">
        <f t="shared" si="58"/>
        <v>3735</v>
      </c>
      <c r="AD119" s="22">
        <f t="shared" si="59"/>
        <v>0</v>
      </c>
      <c r="AE119" s="22">
        <f t="shared" si="60"/>
        <v>0</v>
      </c>
      <c r="AF119" s="22">
        <f t="shared" si="61"/>
        <v>0</v>
      </c>
      <c r="AG119" s="22">
        <f t="shared" si="62"/>
        <v>0</v>
      </c>
      <c r="AH119" s="22">
        <f t="shared" si="63"/>
        <v>0</v>
      </c>
      <c r="AI119" s="34" t="s">
        <v>658</v>
      </c>
      <c r="AJ119" s="5">
        <f t="shared" si="64"/>
        <v>0</v>
      </c>
      <c r="AK119" s="5">
        <f t="shared" si="65"/>
        <v>0</v>
      </c>
      <c r="AL119" s="5">
        <f t="shared" si="66"/>
        <v>3735</v>
      </c>
      <c r="AN119" s="22">
        <v>21</v>
      </c>
      <c r="AO119" s="22">
        <f t="shared" si="50"/>
        <v>0</v>
      </c>
      <c r="AP119" s="22">
        <f t="shared" si="51"/>
        <v>83</v>
      </c>
      <c r="AQ119" s="38" t="s">
        <v>7</v>
      </c>
      <c r="AV119" s="22">
        <f t="shared" si="67"/>
        <v>3735</v>
      </c>
      <c r="AW119" s="22">
        <f t="shared" si="68"/>
        <v>0</v>
      </c>
      <c r="AX119" s="22">
        <f t="shared" si="69"/>
        <v>3735</v>
      </c>
      <c r="AY119" s="77" t="s">
        <v>899</v>
      </c>
      <c r="AZ119" s="77" t="s">
        <v>919</v>
      </c>
      <c r="BA119" s="34" t="s">
        <v>934</v>
      </c>
      <c r="BC119" s="22">
        <f t="shared" si="70"/>
        <v>3735</v>
      </c>
      <c r="BD119" s="22">
        <f t="shared" si="71"/>
        <v>83</v>
      </c>
      <c r="BE119" s="22">
        <v>0</v>
      </c>
      <c r="BF119" s="22">
        <f t="shared" si="72"/>
        <v>0</v>
      </c>
      <c r="BH119" s="5">
        <f t="shared" si="73"/>
        <v>0</v>
      </c>
      <c r="BI119" s="5">
        <f t="shared" si="74"/>
        <v>3735</v>
      </c>
      <c r="BJ119" s="5">
        <f t="shared" si="75"/>
        <v>3735</v>
      </c>
    </row>
    <row r="120" spans="1:62">
      <c r="A120" s="1" t="s">
        <v>86</v>
      </c>
      <c r="B120" s="1" t="s">
        <v>658</v>
      </c>
      <c r="C120" s="1" t="s">
        <v>303</v>
      </c>
      <c r="D120" s="1" t="s">
        <v>499</v>
      </c>
      <c r="E120" s="1" t="s">
        <v>642</v>
      </c>
      <c r="F120" s="5">
        <f>'Rozpočet - vybrané sloupce'!AN100</f>
        <v>10</v>
      </c>
      <c r="G120" s="5">
        <f>'Rozpočet - vybrané sloupce'!AS100</f>
        <v>63</v>
      </c>
      <c r="H120" s="5">
        <f t="shared" si="52"/>
        <v>0</v>
      </c>
      <c r="I120" s="5">
        <f t="shared" si="53"/>
        <v>630</v>
      </c>
      <c r="J120" s="5">
        <f t="shared" si="54"/>
        <v>630</v>
      </c>
      <c r="K120" s="5">
        <v>0</v>
      </c>
      <c r="L120" s="5">
        <f t="shared" si="55"/>
        <v>0</v>
      </c>
      <c r="M120" s="38"/>
      <c r="Z120" s="22">
        <f t="shared" si="56"/>
        <v>0</v>
      </c>
      <c r="AB120" s="22">
        <f t="shared" si="57"/>
        <v>0</v>
      </c>
      <c r="AC120" s="22">
        <f t="shared" si="58"/>
        <v>630</v>
      </c>
      <c r="AD120" s="22">
        <f t="shared" si="59"/>
        <v>0</v>
      </c>
      <c r="AE120" s="22">
        <f t="shared" si="60"/>
        <v>0</v>
      </c>
      <c r="AF120" s="22">
        <f t="shared" si="61"/>
        <v>0</v>
      </c>
      <c r="AG120" s="22">
        <f t="shared" si="62"/>
        <v>0</v>
      </c>
      <c r="AH120" s="22">
        <f t="shared" si="63"/>
        <v>0</v>
      </c>
      <c r="AI120" s="34" t="s">
        <v>658</v>
      </c>
      <c r="AJ120" s="5">
        <f t="shared" si="64"/>
        <v>0</v>
      </c>
      <c r="AK120" s="5">
        <f t="shared" si="65"/>
        <v>0</v>
      </c>
      <c r="AL120" s="5">
        <f t="shared" si="66"/>
        <v>630</v>
      </c>
      <c r="AN120" s="22">
        <v>21</v>
      </c>
      <c r="AO120" s="22">
        <f t="shared" si="50"/>
        <v>0</v>
      </c>
      <c r="AP120" s="22">
        <f t="shared" si="51"/>
        <v>63</v>
      </c>
      <c r="AQ120" s="38" t="s">
        <v>7</v>
      </c>
      <c r="AV120" s="22">
        <f t="shared" si="67"/>
        <v>630</v>
      </c>
      <c r="AW120" s="22">
        <f t="shared" si="68"/>
        <v>0</v>
      </c>
      <c r="AX120" s="22">
        <f t="shared" si="69"/>
        <v>630</v>
      </c>
      <c r="AY120" s="77" t="s">
        <v>899</v>
      </c>
      <c r="AZ120" s="77" t="s">
        <v>919</v>
      </c>
      <c r="BA120" s="34" t="s">
        <v>934</v>
      </c>
      <c r="BC120" s="22">
        <f t="shared" si="70"/>
        <v>630</v>
      </c>
      <c r="BD120" s="22">
        <f t="shared" si="71"/>
        <v>63</v>
      </c>
      <c r="BE120" s="22">
        <v>0</v>
      </c>
      <c r="BF120" s="22">
        <f t="shared" si="72"/>
        <v>0</v>
      </c>
      <c r="BH120" s="5">
        <f t="shared" si="73"/>
        <v>0</v>
      </c>
      <c r="BI120" s="5">
        <f t="shared" si="74"/>
        <v>630</v>
      </c>
      <c r="BJ120" s="5">
        <f t="shared" si="75"/>
        <v>630</v>
      </c>
    </row>
    <row r="121" spans="1:62">
      <c r="A121" s="1" t="s">
        <v>87</v>
      </c>
      <c r="B121" s="1" t="s">
        <v>658</v>
      </c>
      <c r="C121" s="1" t="s">
        <v>304</v>
      </c>
      <c r="D121" s="1" t="s">
        <v>500</v>
      </c>
      <c r="E121" s="1" t="s">
        <v>642</v>
      </c>
      <c r="F121" s="5">
        <f>'Rozpočet - vybrané sloupce'!AN101</f>
        <v>5</v>
      </c>
      <c r="G121" s="5">
        <f>'Rozpočet - vybrané sloupce'!AS101</f>
        <v>85</v>
      </c>
      <c r="H121" s="5">
        <f t="shared" si="52"/>
        <v>0</v>
      </c>
      <c r="I121" s="5">
        <f t="shared" si="53"/>
        <v>425</v>
      </c>
      <c r="J121" s="5">
        <f t="shared" si="54"/>
        <v>425</v>
      </c>
      <c r="K121" s="5">
        <v>0</v>
      </c>
      <c r="L121" s="5">
        <f t="shared" si="55"/>
        <v>0</v>
      </c>
      <c r="M121" s="38"/>
      <c r="Z121" s="22">
        <f t="shared" si="56"/>
        <v>0</v>
      </c>
      <c r="AB121" s="22">
        <f t="shared" si="57"/>
        <v>0</v>
      </c>
      <c r="AC121" s="22">
        <f t="shared" si="58"/>
        <v>425</v>
      </c>
      <c r="AD121" s="22">
        <f t="shared" si="59"/>
        <v>0</v>
      </c>
      <c r="AE121" s="22">
        <f t="shared" si="60"/>
        <v>0</v>
      </c>
      <c r="AF121" s="22">
        <f t="shared" si="61"/>
        <v>0</v>
      </c>
      <c r="AG121" s="22">
        <f t="shared" si="62"/>
        <v>0</v>
      </c>
      <c r="AH121" s="22">
        <f t="shared" si="63"/>
        <v>0</v>
      </c>
      <c r="AI121" s="34" t="s">
        <v>658</v>
      </c>
      <c r="AJ121" s="5">
        <f t="shared" si="64"/>
        <v>0</v>
      </c>
      <c r="AK121" s="5">
        <f t="shared" si="65"/>
        <v>0</v>
      </c>
      <c r="AL121" s="5">
        <f t="shared" si="66"/>
        <v>425</v>
      </c>
      <c r="AN121" s="22">
        <v>21</v>
      </c>
      <c r="AO121" s="22">
        <f t="shared" si="50"/>
        <v>0</v>
      </c>
      <c r="AP121" s="22">
        <f t="shared" si="51"/>
        <v>85</v>
      </c>
      <c r="AQ121" s="38" t="s">
        <v>7</v>
      </c>
      <c r="AV121" s="22">
        <f t="shared" si="67"/>
        <v>425</v>
      </c>
      <c r="AW121" s="22">
        <f t="shared" si="68"/>
        <v>0</v>
      </c>
      <c r="AX121" s="22">
        <f t="shared" si="69"/>
        <v>425</v>
      </c>
      <c r="AY121" s="77" t="s">
        <v>899</v>
      </c>
      <c r="AZ121" s="77" t="s">
        <v>919</v>
      </c>
      <c r="BA121" s="34" t="s">
        <v>934</v>
      </c>
      <c r="BC121" s="22">
        <f t="shared" si="70"/>
        <v>425</v>
      </c>
      <c r="BD121" s="22">
        <f t="shared" si="71"/>
        <v>85</v>
      </c>
      <c r="BE121" s="22">
        <v>0</v>
      </c>
      <c r="BF121" s="22">
        <f t="shared" si="72"/>
        <v>0</v>
      </c>
      <c r="BH121" s="5">
        <f t="shared" si="73"/>
        <v>0</v>
      </c>
      <c r="BI121" s="5">
        <f t="shared" si="74"/>
        <v>425</v>
      </c>
      <c r="BJ121" s="5">
        <f t="shared" si="75"/>
        <v>425</v>
      </c>
    </row>
    <row r="122" spans="1:62">
      <c r="A122" s="1" t="s">
        <v>88</v>
      </c>
      <c r="B122" s="1" t="s">
        <v>658</v>
      </c>
      <c r="C122" s="1" t="s">
        <v>305</v>
      </c>
      <c r="D122" s="1" t="s">
        <v>501</v>
      </c>
      <c r="E122" s="1" t="s">
        <v>642</v>
      </c>
      <c r="F122" s="5">
        <f>'Rozpočet - vybrané sloupce'!AN102</f>
        <v>20</v>
      </c>
      <c r="G122" s="5">
        <f>'Rozpočet - vybrané sloupce'!AS102</f>
        <v>49</v>
      </c>
      <c r="H122" s="5">
        <f t="shared" si="52"/>
        <v>0</v>
      </c>
      <c r="I122" s="5">
        <f t="shared" si="53"/>
        <v>980</v>
      </c>
      <c r="J122" s="5">
        <f t="shared" si="54"/>
        <v>980</v>
      </c>
      <c r="K122" s="5">
        <v>0</v>
      </c>
      <c r="L122" s="5">
        <f t="shared" si="55"/>
        <v>0</v>
      </c>
      <c r="M122" s="38"/>
      <c r="Z122" s="22">
        <f t="shared" si="56"/>
        <v>0</v>
      </c>
      <c r="AB122" s="22">
        <f t="shared" si="57"/>
        <v>0</v>
      </c>
      <c r="AC122" s="22">
        <f t="shared" si="58"/>
        <v>980</v>
      </c>
      <c r="AD122" s="22">
        <f t="shared" si="59"/>
        <v>0</v>
      </c>
      <c r="AE122" s="22">
        <f t="shared" si="60"/>
        <v>0</v>
      </c>
      <c r="AF122" s="22">
        <f t="shared" si="61"/>
        <v>0</v>
      </c>
      <c r="AG122" s="22">
        <f t="shared" si="62"/>
        <v>0</v>
      </c>
      <c r="AH122" s="22">
        <f t="shared" si="63"/>
        <v>0</v>
      </c>
      <c r="AI122" s="34" t="s">
        <v>658</v>
      </c>
      <c r="AJ122" s="5">
        <f t="shared" si="64"/>
        <v>0</v>
      </c>
      <c r="AK122" s="5">
        <f t="shared" si="65"/>
        <v>0</v>
      </c>
      <c r="AL122" s="5">
        <f t="shared" si="66"/>
        <v>980</v>
      </c>
      <c r="AN122" s="22">
        <v>21</v>
      </c>
      <c r="AO122" s="22">
        <f t="shared" si="50"/>
        <v>0</v>
      </c>
      <c r="AP122" s="22">
        <f t="shared" si="51"/>
        <v>49</v>
      </c>
      <c r="AQ122" s="38" t="s">
        <v>7</v>
      </c>
      <c r="AV122" s="22">
        <f t="shared" si="67"/>
        <v>980</v>
      </c>
      <c r="AW122" s="22">
        <f t="shared" si="68"/>
        <v>0</v>
      </c>
      <c r="AX122" s="22">
        <f t="shared" si="69"/>
        <v>980</v>
      </c>
      <c r="AY122" s="77" t="s">
        <v>899</v>
      </c>
      <c r="AZ122" s="77" t="s">
        <v>919</v>
      </c>
      <c r="BA122" s="34" t="s">
        <v>934</v>
      </c>
      <c r="BC122" s="22">
        <f t="shared" si="70"/>
        <v>980</v>
      </c>
      <c r="BD122" s="22">
        <f t="shared" si="71"/>
        <v>49</v>
      </c>
      <c r="BE122" s="22">
        <v>0</v>
      </c>
      <c r="BF122" s="22">
        <f t="shared" si="72"/>
        <v>0</v>
      </c>
      <c r="BH122" s="5">
        <f t="shared" si="73"/>
        <v>0</v>
      </c>
      <c r="BI122" s="5">
        <f t="shared" si="74"/>
        <v>980</v>
      </c>
      <c r="BJ122" s="5">
        <f t="shared" si="75"/>
        <v>980</v>
      </c>
    </row>
    <row r="123" spans="1:62">
      <c r="A123" s="1" t="s">
        <v>89</v>
      </c>
      <c r="B123" s="1" t="s">
        <v>658</v>
      </c>
      <c r="C123" s="1" t="s">
        <v>306</v>
      </c>
      <c r="D123" s="1" t="s">
        <v>502</v>
      </c>
      <c r="E123" s="1" t="s">
        <v>642</v>
      </c>
      <c r="F123" s="5">
        <f>'Rozpočet - vybrané sloupce'!AN103</f>
        <v>20</v>
      </c>
      <c r="G123" s="5">
        <f>'Rozpočet - vybrané sloupce'!AS103</f>
        <v>49</v>
      </c>
      <c r="H123" s="5">
        <f t="shared" si="52"/>
        <v>0</v>
      </c>
      <c r="I123" s="5">
        <f t="shared" si="53"/>
        <v>980</v>
      </c>
      <c r="J123" s="5">
        <f t="shared" si="54"/>
        <v>980</v>
      </c>
      <c r="K123" s="5">
        <v>0</v>
      </c>
      <c r="L123" s="5">
        <f t="shared" si="55"/>
        <v>0</v>
      </c>
      <c r="M123" s="38"/>
      <c r="Z123" s="22">
        <f t="shared" si="56"/>
        <v>0</v>
      </c>
      <c r="AB123" s="22">
        <f t="shared" si="57"/>
        <v>0</v>
      </c>
      <c r="AC123" s="22">
        <f t="shared" si="58"/>
        <v>980</v>
      </c>
      <c r="AD123" s="22">
        <f t="shared" si="59"/>
        <v>0</v>
      </c>
      <c r="AE123" s="22">
        <f t="shared" si="60"/>
        <v>0</v>
      </c>
      <c r="AF123" s="22">
        <f t="shared" si="61"/>
        <v>0</v>
      </c>
      <c r="AG123" s="22">
        <f t="shared" si="62"/>
        <v>0</v>
      </c>
      <c r="AH123" s="22">
        <f t="shared" si="63"/>
        <v>0</v>
      </c>
      <c r="AI123" s="34" t="s">
        <v>658</v>
      </c>
      <c r="AJ123" s="5">
        <f t="shared" si="64"/>
        <v>0</v>
      </c>
      <c r="AK123" s="5">
        <f t="shared" si="65"/>
        <v>0</v>
      </c>
      <c r="AL123" s="5">
        <f t="shared" si="66"/>
        <v>980</v>
      </c>
      <c r="AN123" s="22">
        <v>21</v>
      </c>
      <c r="AO123" s="22">
        <f t="shared" si="50"/>
        <v>0</v>
      </c>
      <c r="AP123" s="22">
        <f t="shared" si="51"/>
        <v>49</v>
      </c>
      <c r="AQ123" s="38" t="s">
        <v>7</v>
      </c>
      <c r="AV123" s="22">
        <f t="shared" si="67"/>
        <v>980</v>
      </c>
      <c r="AW123" s="22">
        <f t="shared" si="68"/>
        <v>0</v>
      </c>
      <c r="AX123" s="22">
        <f t="shared" si="69"/>
        <v>980</v>
      </c>
      <c r="AY123" s="77" t="s">
        <v>899</v>
      </c>
      <c r="AZ123" s="77" t="s">
        <v>919</v>
      </c>
      <c r="BA123" s="34" t="s">
        <v>934</v>
      </c>
      <c r="BC123" s="22">
        <f t="shared" si="70"/>
        <v>980</v>
      </c>
      <c r="BD123" s="22">
        <f t="shared" si="71"/>
        <v>49</v>
      </c>
      <c r="BE123" s="22">
        <v>0</v>
      </c>
      <c r="BF123" s="22">
        <f t="shared" si="72"/>
        <v>0</v>
      </c>
      <c r="BH123" s="5">
        <f t="shared" si="73"/>
        <v>0</v>
      </c>
      <c r="BI123" s="5">
        <f t="shared" si="74"/>
        <v>980</v>
      </c>
      <c r="BJ123" s="5">
        <f t="shared" si="75"/>
        <v>980</v>
      </c>
    </row>
    <row r="124" spans="1:62">
      <c r="A124" s="1" t="s">
        <v>90</v>
      </c>
      <c r="B124" s="1" t="s">
        <v>658</v>
      </c>
      <c r="C124" s="1" t="s">
        <v>307</v>
      </c>
      <c r="D124" s="1" t="s">
        <v>503</v>
      </c>
      <c r="E124" s="1" t="s">
        <v>642</v>
      </c>
      <c r="F124" s="5">
        <f>'Rozpočet - vybrané sloupce'!AN104</f>
        <v>30</v>
      </c>
      <c r="G124" s="5">
        <f>'Rozpočet - vybrané sloupce'!AS104</f>
        <v>56</v>
      </c>
      <c r="H124" s="5">
        <f t="shared" si="52"/>
        <v>0</v>
      </c>
      <c r="I124" s="5">
        <f t="shared" si="53"/>
        <v>1680</v>
      </c>
      <c r="J124" s="5">
        <f t="shared" si="54"/>
        <v>1680</v>
      </c>
      <c r="K124" s="5">
        <v>0</v>
      </c>
      <c r="L124" s="5">
        <f t="shared" si="55"/>
        <v>0</v>
      </c>
      <c r="M124" s="38"/>
      <c r="Z124" s="22">
        <f t="shared" si="56"/>
        <v>0</v>
      </c>
      <c r="AB124" s="22">
        <f t="shared" si="57"/>
        <v>0</v>
      </c>
      <c r="AC124" s="22">
        <f t="shared" si="58"/>
        <v>1680</v>
      </c>
      <c r="AD124" s="22">
        <f t="shared" si="59"/>
        <v>0</v>
      </c>
      <c r="AE124" s="22">
        <f t="shared" si="60"/>
        <v>0</v>
      </c>
      <c r="AF124" s="22">
        <f t="shared" si="61"/>
        <v>0</v>
      </c>
      <c r="AG124" s="22">
        <f t="shared" si="62"/>
        <v>0</v>
      </c>
      <c r="AH124" s="22">
        <f t="shared" si="63"/>
        <v>0</v>
      </c>
      <c r="AI124" s="34" t="s">
        <v>658</v>
      </c>
      <c r="AJ124" s="5">
        <f t="shared" si="64"/>
        <v>0</v>
      </c>
      <c r="AK124" s="5">
        <f t="shared" si="65"/>
        <v>0</v>
      </c>
      <c r="AL124" s="5">
        <f t="shared" si="66"/>
        <v>1680</v>
      </c>
      <c r="AN124" s="22">
        <v>21</v>
      </c>
      <c r="AO124" s="22">
        <f t="shared" si="50"/>
        <v>0</v>
      </c>
      <c r="AP124" s="22">
        <f t="shared" si="51"/>
        <v>56</v>
      </c>
      <c r="AQ124" s="38" t="s">
        <v>7</v>
      </c>
      <c r="AV124" s="22">
        <f t="shared" si="67"/>
        <v>1680</v>
      </c>
      <c r="AW124" s="22">
        <f t="shared" si="68"/>
        <v>0</v>
      </c>
      <c r="AX124" s="22">
        <f t="shared" si="69"/>
        <v>1680</v>
      </c>
      <c r="AY124" s="77" t="s">
        <v>899</v>
      </c>
      <c r="AZ124" s="77" t="s">
        <v>919</v>
      </c>
      <c r="BA124" s="34" t="s">
        <v>934</v>
      </c>
      <c r="BC124" s="22">
        <f t="shared" si="70"/>
        <v>1680</v>
      </c>
      <c r="BD124" s="22">
        <f t="shared" si="71"/>
        <v>56.000000000000007</v>
      </c>
      <c r="BE124" s="22">
        <v>0</v>
      </c>
      <c r="BF124" s="22">
        <f t="shared" si="72"/>
        <v>0</v>
      </c>
      <c r="BH124" s="5">
        <f t="shared" si="73"/>
        <v>0</v>
      </c>
      <c r="BI124" s="5">
        <f t="shared" si="74"/>
        <v>1680</v>
      </c>
      <c r="BJ124" s="5">
        <f t="shared" si="75"/>
        <v>1680</v>
      </c>
    </row>
    <row r="125" spans="1:62">
      <c r="A125" s="1" t="s">
        <v>91</v>
      </c>
      <c r="B125" s="1" t="s">
        <v>658</v>
      </c>
      <c r="C125" s="1" t="s">
        <v>308</v>
      </c>
      <c r="D125" s="1" t="s">
        <v>504</v>
      </c>
      <c r="E125" s="1" t="s">
        <v>642</v>
      </c>
      <c r="F125" s="5">
        <f>'Rozpočet - vybrané sloupce'!AN105</f>
        <v>20</v>
      </c>
      <c r="G125" s="5">
        <f>'Rozpočet - vybrané sloupce'!AS105</f>
        <v>49</v>
      </c>
      <c r="H125" s="5">
        <f t="shared" si="52"/>
        <v>0</v>
      </c>
      <c r="I125" s="5">
        <f t="shared" si="53"/>
        <v>980</v>
      </c>
      <c r="J125" s="5">
        <f t="shared" si="54"/>
        <v>980</v>
      </c>
      <c r="K125" s="5">
        <v>0</v>
      </c>
      <c r="L125" s="5">
        <f t="shared" si="55"/>
        <v>0</v>
      </c>
      <c r="M125" s="38"/>
      <c r="Z125" s="22">
        <f t="shared" si="56"/>
        <v>0</v>
      </c>
      <c r="AB125" s="22">
        <f t="shared" si="57"/>
        <v>0</v>
      </c>
      <c r="AC125" s="22">
        <f t="shared" si="58"/>
        <v>980</v>
      </c>
      <c r="AD125" s="22">
        <f t="shared" si="59"/>
        <v>0</v>
      </c>
      <c r="AE125" s="22">
        <f t="shared" si="60"/>
        <v>0</v>
      </c>
      <c r="AF125" s="22">
        <f t="shared" si="61"/>
        <v>0</v>
      </c>
      <c r="AG125" s="22">
        <f t="shared" si="62"/>
        <v>0</v>
      </c>
      <c r="AH125" s="22">
        <f t="shared" si="63"/>
        <v>0</v>
      </c>
      <c r="AI125" s="34" t="s">
        <v>658</v>
      </c>
      <c r="AJ125" s="5">
        <f t="shared" si="64"/>
        <v>0</v>
      </c>
      <c r="AK125" s="5">
        <f t="shared" si="65"/>
        <v>0</v>
      </c>
      <c r="AL125" s="5">
        <f t="shared" si="66"/>
        <v>980</v>
      </c>
      <c r="AN125" s="22">
        <v>21</v>
      </c>
      <c r="AO125" s="22">
        <f t="shared" si="50"/>
        <v>0</v>
      </c>
      <c r="AP125" s="22">
        <f t="shared" si="51"/>
        <v>49</v>
      </c>
      <c r="AQ125" s="38" t="s">
        <v>7</v>
      </c>
      <c r="AV125" s="22">
        <f t="shared" si="67"/>
        <v>980</v>
      </c>
      <c r="AW125" s="22">
        <f t="shared" si="68"/>
        <v>0</v>
      </c>
      <c r="AX125" s="22">
        <f t="shared" si="69"/>
        <v>980</v>
      </c>
      <c r="AY125" s="77" t="s">
        <v>899</v>
      </c>
      <c r="AZ125" s="77" t="s">
        <v>919</v>
      </c>
      <c r="BA125" s="34" t="s">
        <v>934</v>
      </c>
      <c r="BC125" s="22">
        <f t="shared" si="70"/>
        <v>980</v>
      </c>
      <c r="BD125" s="22">
        <f t="shared" si="71"/>
        <v>49</v>
      </c>
      <c r="BE125" s="22">
        <v>0</v>
      </c>
      <c r="BF125" s="22">
        <f t="shared" si="72"/>
        <v>0</v>
      </c>
      <c r="BH125" s="5">
        <f t="shared" si="73"/>
        <v>0</v>
      </c>
      <c r="BI125" s="5">
        <f t="shared" si="74"/>
        <v>980</v>
      </c>
      <c r="BJ125" s="5">
        <f t="shared" si="75"/>
        <v>980</v>
      </c>
    </row>
    <row r="126" spans="1:62">
      <c r="A126" s="1" t="s">
        <v>92</v>
      </c>
      <c r="B126" s="1" t="s">
        <v>658</v>
      </c>
      <c r="C126" s="1" t="s">
        <v>309</v>
      </c>
      <c r="D126" s="1" t="s">
        <v>505</v>
      </c>
      <c r="E126" s="1" t="s">
        <v>642</v>
      </c>
      <c r="F126" s="5">
        <f>'Rozpočet - vybrané sloupce'!AN106</f>
        <v>15</v>
      </c>
      <c r="G126" s="5">
        <f>'Rozpočet - vybrané sloupce'!AS106</f>
        <v>52</v>
      </c>
      <c r="H126" s="5">
        <f t="shared" si="52"/>
        <v>0</v>
      </c>
      <c r="I126" s="5">
        <f t="shared" si="53"/>
        <v>780</v>
      </c>
      <c r="J126" s="5">
        <f t="shared" si="54"/>
        <v>780</v>
      </c>
      <c r="K126" s="5">
        <v>0</v>
      </c>
      <c r="L126" s="5">
        <f t="shared" si="55"/>
        <v>0</v>
      </c>
      <c r="M126" s="38"/>
      <c r="Z126" s="22">
        <f t="shared" si="56"/>
        <v>0</v>
      </c>
      <c r="AB126" s="22">
        <f t="shared" si="57"/>
        <v>0</v>
      </c>
      <c r="AC126" s="22">
        <f t="shared" si="58"/>
        <v>780</v>
      </c>
      <c r="AD126" s="22">
        <f t="shared" si="59"/>
        <v>0</v>
      </c>
      <c r="AE126" s="22">
        <f t="shared" si="60"/>
        <v>0</v>
      </c>
      <c r="AF126" s="22">
        <f t="shared" si="61"/>
        <v>0</v>
      </c>
      <c r="AG126" s="22">
        <f t="shared" si="62"/>
        <v>0</v>
      </c>
      <c r="AH126" s="22">
        <f t="shared" si="63"/>
        <v>0</v>
      </c>
      <c r="AI126" s="34" t="s">
        <v>658</v>
      </c>
      <c r="AJ126" s="5">
        <f t="shared" si="64"/>
        <v>0</v>
      </c>
      <c r="AK126" s="5">
        <f t="shared" si="65"/>
        <v>0</v>
      </c>
      <c r="AL126" s="5">
        <f t="shared" si="66"/>
        <v>780</v>
      </c>
      <c r="AN126" s="22">
        <v>21</v>
      </c>
      <c r="AO126" s="22">
        <f t="shared" si="50"/>
        <v>0</v>
      </c>
      <c r="AP126" s="22">
        <f t="shared" si="51"/>
        <v>52</v>
      </c>
      <c r="AQ126" s="38" t="s">
        <v>7</v>
      </c>
      <c r="AV126" s="22">
        <f t="shared" si="67"/>
        <v>780</v>
      </c>
      <c r="AW126" s="22">
        <f t="shared" si="68"/>
        <v>0</v>
      </c>
      <c r="AX126" s="22">
        <f t="shared" si="69"/>
        <v>780</v>
      </c>
      <c r="AY126" s="77" t="s">
        <v>899</v>
      </c>
      <c r="AZ126" s="77" t="s">
        <v>919</v>
      </c>
      <c r="BA126" s="34" t="s">
        <v>934</v>
      </c>
      <c r="BC126" s="22">
        <f t="shared" si="70"/>
        <v>780</v>
      </c>
      <c r="BD126" s="22">
        <f t="shared" si="71"/>
        <v>52</v>
      </c>
      <c r="BE126" s="22">
        <v>0</v>
      </c>
      <c r="BF126" s="22">
        <f t="shared" si="72"/>
        <v>0</v>
      </c>
      <c r="BH126" s="5">
        <f t="shared" si="73"/>
        <v>0</v>
      </c>
      <c r="BI126" s="5">
        <f t="shared" si="74"/>
        <v>780</v>
      </c>
      <c r="BJ126" s="5">
        <f t="shared" si="75"/>
        <v>780</v>
      </c>
    </row>
    <row r="127" spans="1:62">
      <c r="A127" s="1" t="s">
        <v>93</v>
      </c>
      <c r="B127" s="1" t="s">
        <v>658</v>
      </c>
      <c r="C127" s="1" t="s">
        <v>310</v>
      </c>
      <c r="D127" s="1" t="s">
        <v>506</v>
      </c>
      <c r="E127" s="1" t="s">
        <v>642</v>
      </c>
      <c r="F127" s="5">
        <f>'Rozpočet - vybrané sloupce'!AN107</f>
        <v>15</v>
      </c>
      <c r="G127" s="5">
        <f>'Rozpočet - vybrané sloupce'!AS107</f>
        <v>53</v>
      </c>
      <c r="H127" s="5">
        <f t="shared" si="52"/>
        <v>0</v>
      </c>
      <c r="I127" s="5">
        <f t="shared" si="53"/>
        <v>795</v>
      </c>
      <c r="J127" s="5">
        <f t="shared" si="54"/>
        <v>795</v>
      </c>
      <c r="K127" s="5">
        <v>0</v>
      </c>
      <c r="L127" s="5">
        <f t="shared" si="55"/>
        <v>0</v>
      </c>
      <c r="M127" s="38"/>
      <c r="Z127" s="22">
        <f t="shared" si="56"/>
        <v>0</v>
      </c>
      <c r="AB127" s="22">
        <f t="shared" si="57"/>
        <v>0</v>
      </c>
      <c r="AC127" s="22">
        <f t="shared" si="58"/>
        <v>795</v>
      </c>
      <c r="AD127" s="22">
        <f t="shared" si="59"/>
        <v>0</v>
      </c>
      <c r="AE127" s="22">
        <f t="shared" si="60"/>
        <v>0</v>
      </c>
      <c r="AF127" s="22">
        <f t="shared" si="61"/>
        <v>0</v>
      </c>
      <c r="AG127" s="22">
        <f t="shared" si="62"/>
        <v>0</v>
      </c>
      <c r="AH127" s="22">
        <f t="shared" si="63"/>
        <v>0</v>
      </c>
      <c r="AI127" s="34" t="s">
        <v>658</v>
      </c>
      <c r="AJ127" s="5">
        <f t="shared" si="64"/>
        <v>0</v>
      </c>
      <c r="AK127" s="5">
        <f t="shared" si="65"/>
        <v>0</v>
      </c>
      <c r="AL127" s="5">
        <f t="shared" si="66"/>
        <v>795</v>
      </c>
      <c r="AN127" s="22">
        <v>21</v>
      </c>
      <c r="AO127" s="22">
        <f t="shared" si="50"/>
        <v>0</v>
      </c>
      <c r="AP127" s="22">
        <f t="shared" si="51"/>
        <v>53</v>
      </c>
      <c r="AQ127" s="38" t="s">
        <v>7</v>
      </c>
      <c r="AV127" s="22">
        <f t="shared" si="67"/>
        <v>795</v>
      </c>
      <c r="AW127" s="22">
        <f t="shared" si="68"/>
        <v>0</v>
      </c>
      <c r="AX127" s="22">
        <f t="shared" si="69"/>
        <v>795</v>
      </c>
      <c r="AY127" s="77" t="s">
        <v>899</v>
      </c>
      <c r="AZ127" s="77" t="s">
        <v>919</v>
      </c>
      <c r="BA127" s="34" t="s">
        <v>934</v>
      </c>
      <c r="BC127" s="22">
        <f t="shared" si="70"/>
        <v>795</v>
      </c>
      <c r="BD127" s="22">
        <f t="shared" si="71"/>
        <v>53</v>
      </c>
      <c r="BE127" s="22">
        <v>0</v>
      </c>
      <c r="BF127" s="22">
        <f t="shared" si="72"/>
        <v>0</v>
      </c>
      <c r="BH127" s="5">
        <f t="shared" si="73"/>
        <v>0</v>
      </c>
      <c r="BI127" s="5">
        <f t="shared" si="74"/>
        <v>795</v>
      </c>
      <c r="BJ127" s="5">
        <f t="shared" si="75"/>
        <v>795</v>
      </c>
    </row>
    <row r="128" spans="1:62">
      <c r="A128" s="1" t="s">
        <v>94</v>
      </c>
      <c r="B128" s="1" t="s">
        <v>658</v>
      </c>
      <c r="C128" s="1" t="s">
        <v>311</v>
      </c>
      <c r="D128" s="1" t="s">
        <v>507</v>
      </c>
      <c r="E128" s="1" t="s">
        <v>642</v>
      </c>
      <c r="F128" s="5">
        <f>'Rozpočet - vybrané sloupce'!AN108</f>
        <v>15</v>
      </c>
      <c r="G128" s="5">
        <f>'Rozpočet - vybrané sloupce'!AS108</f>
        <v>48</v>
      </c>
      <c r="H128" s="5">
        <f t="shared" si="52"/>
        <v>0</v>
      </c>
      <c r="I128" s="5">
        <f t="shared" si="53"/>
        <v>720</v>
      </c>
      <c r="J128" s="5">
        <f t="shared" si="54"/>
        <v>720</v>
      </c>
      <c r="K128" s="5">
        <v>0</v>
      </c>
      <c r="L128" s="5">
        <f t="shared" si="55"/>
        <v>0</v>
      </c>
      <c r="M128" s="38"/>
      <c r="Z128" s="22">
        <f t="shared" si="56"/>
        <v>0</v>
      </c>
      <c r="AB128" s="22">
        <f t="shared" si="57"/>
        <v>0</v>
      </c>
      <c r="AC128" s="22">
        <f t="shared" si="58"/>
        <v>720</v>
      </c>
      <c r="AD128" s="22">
        <f t="shared" si="59"/>
        <v>0</v>
      </c>
      <c r="AE128" s="22">
        <f t="shared" si="60"/>
        <v>0</v>
      </c>
      <c r="AF128" s="22">
        <f t="shared" si="61"/>
        <v>0</v>
      </c>
      <c r="AG128" s="22">
        <f t="shared" si="62"/>
        <v>0</v>
      </c>
      <c r="AH128" s="22">
        <f t="shared" si="63"/>
        <v>0</v>
      </c>
      <c r="AI128" s="34" t="s">
        <v>658</v>
      </c>
      <c r="AJ128" s="5">
        <f t="shared" si="64"/>
        <v>0</v>
      </c>
      <c r="AK128" s="5">
        <f t="shared" si="65"/>
        <v>0</v>
      </c>
      <c r="AL128" s="5">
        <f t="shared" si="66"/>
        <v>720</v>
      </c>
      <c r="AN128" s="22">
        <v>21</v>
      </c>
      <c r="AO128" s="22">
        <f t="shared" si="50"/>
        <v>0</v>
      </c>
      <c r="AP128" s="22">
        <f t="shared" si="51"/>
        <v>48</v>
      </c>
      <c r="AQ128" s="38" t="s">
        <v>7</v>
      </c>
      <c r="AV128" s="22">
        <f t="shared" si="67"/>
        <v>720</v>
      </c>
      <c r="AW128" s="22">
        <f t="shared" si="68"/>
        <v>0</v>
      </c>
      <c r="AX128" s="22">
        <f t="shared" si="69"/>
        <v>720</v>
      </c>
      <c r="AY128" s="77" t="s">
        <v>899</v>
      </c>
      <c r="AZ128" s="77" t="s">
        <v>919</v>
      </c>
      <c r="BA128" s="34" t="s">
        <v>934</v>
      </c>
      <c r="BC128" s="22">
        <f t="shared" si="70"/>
        <v>720</v>
      </c>
      <c r="BD128" s="22">
        <f t="shared" si="71"/>
        <v>48</v>
      </c>
      <c r="BE128" s="22">
        <v>0</v>
      </c>
      <c r="BF128" s="22">
        <f t="shared" si="72"/>
        <v>0</v>
      </c>
      <c r="BH128" s="5">
        <f t="shared" si="73"/>
        <v>0</v>
      </c>
      <c r="BI128" s="5">
        <f t="shared" si="74"/>
        <v>720</v>
      </c>
      <c r="BJ128" s="5">
        <f t="shared" si="75"/>
        <v>720</v>
      </c>
    </row>
    <row r="129" spans="1:62">
      <c r="A129" s="1" t="s">
        <v>95</v>
      </c>
      <c r="B129" s="1" t="s">
        <v>658</v>
      </c>
      <c r="C129" s="1" t="s">
        <v>312</v>
      </c>
      <c r="D129" s="1" t="s">
        <v>508</v>
      </c>
      <c r="E129" s="1" t="s">
        <v>642</v>
      </c>
      <c r="F129" s="5">
        <f>'Rozpočet - vybrané sloupce'!AN109</f>
        <v>10</v>
      </c>
      <c r="G129" s="5">
        <f>'Rozpočet - vybrané sloupce'!AS109</f>
        <v>49</v>
      </c>
      <c r="H129" s="5">
        <f t="shared" si="52"/>
        <v>0</v>
      </c>
      <c r="I129" s="5">
        <f t="shared" si="53"/>
        <v>490</v>
      </c>
      <c r="J129" s="5">
        <f t="shared" si="54"/>
        <v>490</v>
      </c>
      <c r="K129" s="5">
        <v>0</v>
      </c>
      <c r="L129" s="5">
        <f t="shared" si="55"/>
        <v>0</v>
      </c>
      <c r="M129" s="38"/>
      <c r="Z129" s="22">
        <f t="shared" si="56"/>
        <v>0</v>
      </c>
      <c r="AB129" s="22">
        <f t="shared" si="57"/>
        <v>0</v>
      </c>
      <c r="AC129" s="22">
        <f t="shared" si="58"/>
        <v>490</v>
      </c>
      <c r="AD129" s="22">
        <f t="shared" si="59"/>
        <v>0</v>
      </c>
      <c r="AE129" s="22">
        <f t="shared" si="60"/>
        <v>0</v>
      </c>
      <c r="AF129" s="22">
        <f t="shared" si="61"/>
        <v>0</v>
      </c>
      <c r="AG129" s="22">
        <f t="shared" si="62"/>
        <v>0</v>
      </c>
      <c r="AH129" s="22">
        <f t="shared" si="63"/>
        <v>0</v>
      </c>
      <c r="AI129" s="34" t="s">
        <v>658</v>
      </c>
      <c r="AJ129" s="5">
        <f t="shared" si="64"/>
        <v>0</v>
      </c>
      <c r="AK129" s="5">
        <f t="shared" si="65"/>
        <v>0</v>
      </c>
      <c r="AL129" s="5">
        <f t="shared" si="66"/>
        <v>490</v>
      </c>
      <c r="AN129" s="22">
        <v>21</v>
      </c>
      <c r="AO129" s="22">
        <f t="shared" si="50"/>
        <v>0</v>
      </c>
      <c r="AP129" s="22">
        <f t="shared" si="51"/>
        <v>49</v>
      </c>
      <c r="AQ129" s="38" t="s">
        <v>7</v>
      </c>
      <c r="AV129" s="22">
        <f t="shared" si="67"/>
        <v>490</v>
      </c>
      <c r="AW129" s="22">
        <f t="shared" si="68"/>
        <v>0</v>
      </c>
      <c r="AX129" s="22">
        <f t="shared" si="69"/>
        <v>490</v>
      </c>
      <c r="AY129" s="77" t="s">
        <v>899</v>
      </c>
      <c r="AZ129" s="77" t="s">
        <v>919</v>
      </c>
      <c r="BA129" s="34" t="s">
        <v>934</v>
      </c>
      <c r="BC129" s="22">
        <f t="shared" si="70"/>
        <v>490</v>
      </c>
      <c r="BD129" s="22">
        <f t="shared" si="71"/>
        <v>49</v>
      </c>
      <c r="BE129" s="22">
        <v>0</v>
      </c>
      <c r="BF129" s="22">
        <f t="shared" si="72"/>
        <v>0</v>
      </c>
      <c r="BH129" s="5">
        <f t="shared" si="73"/>
        <v>0</v>
      </c>
      <c r="BI129" s="5">
        <f t="shared" si="74"/>
        <v>490</v>
      </c>
      <c r="BJ129" s="5">
        <f t="shared" si="75"/>
        <v>490</v>
      </c>
    </row>
    <row r="130" spans="1:62">
      <c r="A130" s="1" t="s">
        <v>96</v>
      </c>
      <c r="B130" s="1" t="s">
        <v>658</v>
      </c>
      <c r="C130" s="1" t="s">
        <v>313</v>
      </c>
      <c r="D130" s="1" t="s">
        <v>509</v>
      </c>
      <c r="E130" s="1" t="s">
        <v>642</v>
      </c>
      <c r="F130" s="5">
        <f>'Rozpočet - vybrané sloupce'!AN110</f>
        <v>10</v>
      </c>
      <c r="G130" s="5">
        <f>'Rozpočet - vybrané sloupce'!AS110</f>
        <v>49</v>
      </c>
      <c r="H130" s="5">
        <f t="shared" si="52"/>
        <v>0</v>
      </c>
      <c r="I130" s="5">
        <f t="shared" si="53"/>
        <v>490</v>
      </c>
      <c r="J130" s="5">
        <f t="shared" si="54"/>
        <v>490</v>
      </c>
      <c r="K130" s="5">
        <v>0</v>
      </c>
      <c r="L130" s="5">
        <f t="shared" si="55"/>
        <v>0</v>
      </c>
      <c r="M130" s="38"/>
      <c r="Z130" s="22">
        <f t="shared" si="56"/>
        <v>0</v>
      </c>
      <c r="AB130" s="22">
        <f t="shared" si="57"/>
        <v>0</v>
      </c>
      <c r="AC130" s="22">
        <f t="shared" si="58"/>
        <v>490</v>
      </c>
      <c r="AD130" s="22">
        <f t="shared" si="59"/>
        <v>0</v>
      </c>
      <c r="AE130" s="22">
        <f t="shared" si="60"/>
        <v>0</v>
      </c>
      <c r="AF130" s="22">
        <f t="shared" si="61"/>
        <v>0</v>
      </c>
      <c r="AG130" s="22">
        <f t="shared" si="62"/>
        <v>0</v>
      </c>
      <c r="AH130" s="22">
        <f t="shared" si="63"/>
        <v>0</v>
      </c>
      <c r="AI130" s="34" t="s">
        <v>658</v>
      </c>
      <c r="AJ130" s="5">
        <f t="shared" si="64"/>
        <v>0</v>
      </c>
      <c r="AK130" s="5">
        <f t="shared" si="65"/>
        <v>0</v>
      </c>
      <c r="AL130" s="5">
        <f t="shared" si="66"/>
        <v>490</v>
      </c>
      <c r="AN130" s="22">
        <v>21</v>
      </c>
      <c r="AO130" s="22">
        <f t="shared" si="50"/>
        <v>0</v>
      </c>
      <c r="AP130" s="22">
        <f t="shared" si="51"/>
        <v>49</v>
      </c>
      <c r="AQ130" s="38" t="s">
        <v>7</v>
      </c>
      <c r="AV130" s="22">
        <f t="shared" si="67"/>
        <v>490</v>
      </c>
      <c r="AW130" s="22">
        <f t="shared" si="68"/>
        <v>0</v>
      </c>
      <c r="AX130" s="22">
        <f t="shared" si="69"/>
        <v>490</v>
      </c>
      <c r="AY130" s="77" t="s">
        <v>899</v>
      </c>
      <c r="AZ130" s="77" t="s">
        <v>919</v>
      </c>
      <c r="BA130" s="34" t="s">
        <v>934</v>
      </c>
      <c r="BC130" s="22">
        <f t="shared" si="70"/>
        <v>490</v>
      </c>
      <c r="BD130" s="22">
        <f t="shared" si="71"/>
        <v>49</v>
      </c>
      <c r="BE130" s="22">
        <v>0</v>
      </c>
      <c r="BF130" s="22">
        <f t="shared" si="72"/>
        <v>0</v>
      </c>
      <c r="BH130" s="5">
        <f t="shared" si="73"/>
        <v>0</v>
      </c>
      <c r="BI130" s="5">
        <f t="shared" si="74"/>
        <v>490</v>
      </c>
      <c r="BJ130" s="5">
        <f t="shared" si="75"/>
        <v>490</v>
      </c>
    </row>
    <row r="131" spans="1:62">
      <c r="A131" s="1" t="s">
        <v>97</v>
      </c>
      <c r="B131" s="1" t="s">
        <v>658</v>
      </c>
      <c r="C131" s="1" t="s">
        <v>314</v>
      </c>
      <c r="D131" s="1" t="s">
        <v>510</v>
      </c>
      <c r="E131" s="1" t="s">
        <v>642</v>
      </c>
      <c r="F131" s="5">
        <f>'Rozpočet - vybrané sloupce'!AN111</f>
        <v>10</v>
      </c>
      <c r="G131" s="5">
        <f>'Rozpočet - vybrané sloupce'!AS111</f>
        <v>48</v>
      </c>
      <c r="H131" s="5">
        <f t="shared" si="52"/>
        <v>0</v>
      </c>
      <c r="I131" s="5">
        <f t="shared" si="53"/>
        <v>480</v>
      </c>
      <c r="J131" s="5">
        <f t="shared" si="54"/>
        <v>480</v>
      </c>
      <c r="K131" s="5">
        <v>0</v>
      </c>
      <c r="L131" s="5">
        <f t="shared" si="55"/>
        <v>0</v>
      </c>
      <c r="M131" s="38"/>
      <c r="Z131" s="22">
        <f t="shared" si="56"/>
        <v>0</v>
      </c>
      <c r="AB131" s="22">
        <f t="shared" si="57"/>
        <v>0</v>
      </c>
      <c r="AC131" s="22">
        <f t="shared" si="58"/>
        <v>480</v>
      </c>
      <c r="AD131" s="22">
        <f t="shared" si="59"/>
        <v>0</v>
      </c>
      <c r="AE131" s="22">
        <f t="shared" si="60"/>
        <v>0</v>
      </c>
      <c r="AF131" s="22">
        <f t="shared" si="61"/>
        <v>0</v>
      </c>
      <c r="AG131" s="22">
        <f t="shared" si="62"/>
        <v>0</v>
      </c>
      <c r="AH131" s="22">
        <f t="shared" si="63"/>
        <v>0</v>
      </c>
      <c r="AI131" s="34" t="s">
        <v>658</v>
      </c>
      <c r="AJ131" s="5">
        <f t="shared" si="64"/>
        <v>0</v>
      </c>
      <c r="AK131" s="5">
        <f t="shared" si="65"/>
        <v>0</v>
      </c>
      <c r="AL131" s="5">
        <f t="shared" si="66"/>
        <v>480</v>
      </c>
      <c r="AN131" s="22">
        <v>21</v>
      </c>
      <c r="AO131" s="22">
        <f t="shared" si="50"/>
        <v>0</v>
      </c>
      <c r="AP131" s="22">
        <f t="shared" si="51"/>
        <v>48</v>
      </c>
      <c r="AQ131" s="38" t="s">
        <v>7</v>
      </c>
      <c r="AV131" s="22">
        <f t="shared" si="67"/>
        <v>480</v>
      </c>
      <c r="AW131" s="22">
        <f t="shared" si="68"/>
        <v>0</v>
      </c>
      <c r="AX131" s="22">
        <f t="shared" si="69"/>
        <v>480</v>
      </c>
      <c r="AY131" s="77" t="s">
        <v>899</v>
      </c>
      <c r="AZ131" s="77" t="s">
        <v>919</v>
      </c>
      <c r="BA131" s="34" t="s">
        <v>934</v>
      </c>
      <c r="BC131" s="22">
        <f t="shared" si="70"/>
        <v>480</v>
      </c>
      <c r="BD131" s="22">
        <f t="shared" si="71"/>
        <v>48</v>
      </c>
      <c r="BE131" s="22">
        <v>0</v>
      </c>
      <c r="BF131" s="22">
        <f t="shared" si="72"/>
        <v>0</v>
      </c>
      <c r="BH131" s="5">
        <f t="shared" si="73"/>
        <v>0</v>
      </c>
      <c r="BI131" s="5">
        <f t="shared" si="74"/>
        <v>480</v>
      </c>
      <c r="BJ131" s="5">
        <f t="shared" si="75"/>
        <v>480</v>
      </c>
    </row>
    <row r="132" spans="1:62">
      <c r="A132" s="1" t="s">
        <v>98</v>
      </c>
      <c r="B132" s="1" t="s">
        <v>658</v>
      </c>
      <c r="C132" s="1" t="s">
        <v>315</v>
      </c>
      <c r="D132" s="1" t="s">
        <v>511</v>
      </c>
      <c r="E132" s="1" t="s">
        <v>642</v>
      </c>
      <c r="F132" s="5">
        <f>'Rozpočet - vybrané sloupce'!AN112</f>
        <v>20</v>
      </c>
      <c r="G132" s="5">
        <f>'Rozpočet - vybrané sloupce'!AS112</f>
        <v>36</v>
      </c>
      <c r="H132" s="5">
        <f t="shared" si="52"/>
        <v>0</v>
      </c>
      <c r="I132" s="5">
        <f t="shared" si="53"/>
        <v>720</v>
      </c>
      <c r="J132" s="5">
        <f t="shared" si="54"/>
        <v>720</v>
      </c>
      <c r="K132" s="5">
        <v>0</v>
      </c>
      <c r="L132" s="5">
        <f t="shared" si="55"/>
        <v>0</v>
      </c>
      <c r="M132" s="38"/>
      <c r="Z132" s="22">
        <f t="shared" si="56"/>
        <v>0</v>
      </c>
      <c r="AB132" s="22">
        <f t="shared" si="57"/>
        <v>0</v>
      </c>
      <c r="AC132" s="22">
        <f t="shared" si="58"/>
        <v>720</v>
      </c>
      <c r="AD132" s="22">
        <f t="shared" si="59"/>
        <v>0</v>
      </c>
      <c r="AE132" s="22">
        <f t="shared" si="60"/>
        <v>0</v>
      </c>
      <c r="AF132" s="22">
        <f t="shared" si="61"/>
        <v>0</v>
      </c>
      <c r="AG132" s="22">
        <f t="shared" si="62"/>
        <v>0</v>
      </c>
      <c r="AH132" s="22">
        <f t="shared" si="63"/>
        <v>0</v>
      </c>
      <c r="AI132" s="34" t="s">
        <v>658</v>
      </c>
      <c r="AJ132" s="5">
        <f t="shared" si="64"/>
        <v>0</v>
      </c>
      <c r="AK132" s="5">
        <f t="shared" si="65"/>
        <v>0</v>
      </c>
      <c r="AL132" s="5">
        <f t="shared" si="66"/>
        <v>720</v>
      </c>
      <c r="AN132" s="22">
        <v>21</v>
      </c>
      <c r="AO132" s="22">
        <f t="shared" si="50"/>
        <v>0</v>
      </c>
      <c r="AP132" s="22">
        <f t="shared" si="51"/>
        <v>36</v>
      </c>
      <c r="AQ132" s="38" t="s">
        <v>7</v>
      </c>
      <c r="AV132" s="22">
        <f t="shared" si="67"/>
        <v>720</v>
      </c>
      <c r="AW132" s="22">
        <f t="shared" si="68"/>
        <v>0</v>
      </c>
      <c r="AX132" s="22">
        <f t="shared" si="69"/>
        <v>720</v>
      </c>
      <c r="AY132" s="77" t="s">
        <v>899</v>
      </c>
      <c r="AZ132" s="77" t="s">
        <v>919</v>
      </c>
      <c r="BA132" s="34" t="s">
        <v>934</v>
      </c>
      <c r="BC132" s="22">
        <f t="shared" si="70"/>
        <v>720</v>
      </c>
      <c r="BD132" s="22">
        <f t="shared" si="71"/>
        <v>36</v>
      </c>
      <c r="BE132" s="22">
        <v>0</v>
      </c>
      <c r="BF132" s="22">
        <f t="shared" si="72"/>
        <v>0</v>
      </c>
      <c r="BH132" s="5">
        <f t="shared" si="73"/>
        <v>0</v>
      </c>
      <c r="BI132" s="5">
        <f t="shared" si="74"/>
        <v>720</v>
      </c>
      <c r="BJ132" s="5">
        <f t="shared" si="75"/>
        <v>720</v>
      </c>
    </row>
    <row r="133" spans="1:62">
      <c r="A133" s="1" t="s">
        <v>99</v>
      </c>
      <c r="B133" s="1" t="s">
        <v>658</v>
      </c>
      <c r="C133" s="1" t="s">
        <v>316</v>
      </c>
      <c r="D133" s="1" t="s">
        <v>512</v>
      </c>
      <c r="E133" s="1" t="s">
        <v>642</v>
      </c>
      <c r="F133" s="5">
        <f>'Rozpočet - vybrané sloupce'!AN113</f>
        <v>10</v>
      </c>
      <c r="G133" s="5">
        <f>'Rozpočet - vybrané sloupce'!AS113</f>
        <v>39</v>
      </c>
      <c r="H133" s="5">
        <f t="shared" si="52"/>
        <v>0</v>
      </c>
      <c r="I133" s="5">
        <f t="shared" si="53"/>
        <v>390</v>
      </c>
      <c r="J133" s="5">
        <f t="shared" si="54"/>
        <v>390</v>
      </c>
      <c r="K133" s="5">
        <v>0</v>
      </c>
      <c r="L133" s="5">
        <f t="shared" si="55"/>
        <v>0</v>
      </c>
      <c r="M133" s="38"/>
      <c r="Z133" s="22">
        <f t="shared" si="56"/>
        <v>0</v>
      </c>
      <c r="AB133" s="22">
        <f t="shared" si="57"/>
        <v>0</v>
      </c>
      <c r="AC133" s="22">
        <f t="shared" si="58"/>
        <v>390</v>
      </c>
      <c r="AD133" s="22">
        <f t="shared" si="59"/>
        <v>0</v>
      </c>
      <c r="AE133" s="22">
        <f t="shared" si="60"/>
        <v>0</v>
      </c>
      <c r="AF133" s="22">
        <f t="shared" si="61"/>
        <v>0</v>
      </c>
      <c r="AG133" s="22">
        <f t="shared" si="62"/>
        <v>0</v>
      </c>
      <c r="AH133" s="22">
        <f t="shared" si="63"/>
        <v>0</v>
      </c>
      <c r="AI133" s="34" t="s">
        <v>658</v>
      </c>
      <c r="AJ133" s="5">
        <f t="shared" si="64"/>
        <v>0</v>
      </c>
      <c r="AK133" s="5">
        <f t="shared" si="65"/>
        <v>0</v>
      </c>
      <c r="AL133" s="5">
        <f t="shared" si="66"/>
        <v>390</v>
      </c>
      <c r="AN133" s="22">
        <v>21</v>
      </c>
      <c r="AO133" s="22">
        <f t="shared" si="50"/>
        <v>0</v>
      </c>
      <c r="AP133" s="22">
        <f t="shared" si="51"/>
        <v>39</v>
      </c>
      <c r="AQ133" s="38" t="s">
        <v>7</v>
      </c>
      <c r="AV133" s="22">
        <f t="shared" si="67"/>
        <v>390</v>
      </c>
      <c r="AW133" s="22">
        <f t="shared" si="68"/>
        <v>0</v>
      </c>
      <c r="AX133" s="22">
        <f t="shared" si="69"/>
        <v>390</v>
      </c>
      <c r="AY133" s="77" t="s">
        <v>899</v>
      </c>
      <c r="AZ133" s="77" t="s">
        <v>919</v>
      </c>
      <c r="BA133" s="34" t="s">
        <v>934</v>
      </c>
      <c r="BC133" s="22">
        <f t="shared" si="70"/>
        <v>390</v>
      </c>
      <c r="BD133" s="22">
        <f t="shared" si="71"/>
        <v>39</v>
      </c>
      <c r="BE133" s="22">
        <v>0</v>
      </c>
      <c r="BF133" s="22">
        <f t="shared" si="72"/>
        <v>0</v>
      </c>
      <c r="BH133" s="5">
        <f t="shared" si="73"/>
        <v>0</v>
      </c>
      <c r="BI133" s="5">
        <f t="shared" si="74"/>
        <v>390</v>
      </c>
      <c r="BJ133" s="5">
        <f t="shared" si="75"/>
        <v>390</v>
      </c>
    </row>
    <row r="134" spans="1:62">
      <c r="A134" s="1" t="s">
        <v>100</v>
      </c>
      <c r="B134" s="1" t="s">
        <v>658</v>
      </c>
      <c r="C134" s="1" t="s">
        <v>317</v>
      </c>
      <c r="D134" s="1" t="s">
        <v>513</v>
      </c>
      <c r="E134" s="1" t="s">
        <v>642</v>
      </c>
      <c r="F134" s="5">
        <f>'Rozpočet - vybrané sloupce'!AN114</f>
        <v>10</v>
      </c>
      <c r="G134" s="5">
        <f>'Rozpočet - vybrané sloupce'!AS114</f>
        <v>49</v>
      </c>
      <c r="H134" s="5">
        <f t="shared" si="52"/>
        <v>0</v>
      </c>
      <c r="I134" s="5">
        <f t="shared" si="53"/>
        <v>490</v>
      </c>
      <c r="J134" s="5">
        <f t="shared" si="54"/>
        <v>490</v>
      </c>
      <c r="K134" s="5">
        <v>0</v>
      </c>
      <c r="L134" s="5">
        <f t="shared" si="55"/>
        <v>0</v>
      </c>
      <c r="M134" s="38"/>
      <c r="Z134" s="22">
        <f t="shared" si="56"/>
        <v>0</v>
      </c>
      <c r="AB134" s="22">
        <f t="shared" si="57"/>
        <v>0</v>
      </c>
      <c r="AC134" s="22">
        <f t="shared" si="58"/>
        <v>490</v>
      </c>
      <c r="AD134" s="22">
        <f t="shared" si="59"/>
        <v>0</v>
      </c>
      <c r="AE134" s="22">
        <f t="shared" si="60"/>
        <v>0</v>
      </c>
      <c r="AF134" s="22">
        <f t="shared" si="61"/>
        <v>0</v>
      </c>
      <c r="AG134" s="22">
        <f t="shared" si="62"/>
        <v>0</v>
      </c>
      <c r="AH134" s="22">
        <f t="shared" si="63"/>
        <v>0</v>
      </c>
      <c r="AI134" s="34" t="s">
        <v>658</v>
      </c>
      <c r="AJ134" s="5">
        <f t="shared" si="64"/>
        <v>0</v>
      </c>
      <c r="AK134" s="5">
        <f t="shared" si="65"/>
        <v>0</v>
      </c>
      <c r="AL134" s="5">
        <f t="shared" si="66"/>
        <v>490</v>
      </c>
      <c r="AN134" s="22">
        <v>21</v>
      </c>
      <c r="AO134" s="22">
        <f t="shared" si="50"/>
        <v>0</v>
      </c>
      <c r="AP134" s="22">
        <f t="shared" si="51"/>
        <v>49</v>
      </c>
      <c r="AQ134" s="38" t="s">
        <v>7</v>
      </c>
      <c r="AV134" s="22">
        <f t="shared" si="67"/>
        <v>490</v>
      </c>
      <c r="AW134" s="22">
        <f t="shared" si="68"/>
        <v>0</v>
      </c>
      <c r="AX134" s="22">
        <f t="shared" si="69"/>
        <v>490</v>
      </c>
      <c r="AY134" s="77" t="s">
        <v>899</v>
      </c>
      <c r="AZ134" s="77" t="s">
        <v>919</v>
      </c>
      <c r="BA134" s="34" t="s">
        <v>934</v>
      </c>
      <c r="BC134" s="22">
        <f t="shared" si="70"/>
        <v>490</v>
      </c>
      <c r="BD134" s="22">
        <f t="shared" si="71"/>
        <v>49</v>
      </c>
      <c r="BE134" s="22">
        <v>0</v>
      </c>
      <c r="BF134" s="22">
        <f t="shared" si="72"/>
        <v>0</v>
      </c>
      <c r="BH134" s="5">
        <f t="shared" si="73"/>
        <v>0</v>
      </c>
      <c r="BI134" s="5">
        <f t="shared" si="74"/>
        <v>490</v>
      </c>
      <c r="BJ134" s="5">
        <f t="shared" si="75"/>
        <v>490</v>
      </c>
    </row>
    <row r="135" spans="1:62">
      <c r="A135" s="1" t="s">
        <v>101</v>
      </c>
      <c r="B135" s="1" t="s">
        <v>658</v>
      </c>
      <c r="C135" s="1" t="s">
        <v>318</v>
      </c>
      <c r="D135" s="1" t="s">
        <v>514</v>
      </c>
      <c r="E135" s="1" t="s">
        <v>634</v>
      </c>
      <c r="F135" s="5">
        <f>'Rozpočet - vybrané sloupce'!AN115</f>
        <v>1</v>
      </c>
      <c r="G135" s="5">
        <f>'Rozpočet - vybrané sloupce'!AS115</f>
        <v>14900</v>
      </c>
      <c r="H135" s="5">
        <f t="shared" si="52"/>
        <v>0</v>
      </c>
      <c r="I135" s="5">
        <f t="shared" si="53"/>
        <v>14900</v>
      </c>
      <c r="J135" s="5">
        <f t="shared" si="54"/>
        <v>14900</v>
      </c>
      <c r="K135" s="5">
        <v>0</v>
      </c>
      <c r="L135" s="5">
        <f t="shared" si="55"/>
        <v>0</v>
      </c>
      <c r="M135" s="38"/>
      <c r="Z135" s="22">
        <f t="shared" si="56"/>
        <v>0</v>
      </c>
      <c r="AB135" s="22">
        <f t="shared" si="57"/>
        <v>0</v>
      </c>
      <c r="AC135" s="22">
        <f t="shared" si="58"/>
        <v>14900</v>
      </c>
      <c r="AD135" s="22">
        <f t="shared" si="59"/>
        <v>0</v>
      </c>
      <c r="AE135" s="22">
        <f t="shared" si="60"/>
        <v>0</v>
      </c>
      <c r="AF135" s="22">
        <f t="shared" si="61"/>
        <v>0</v>
      </c>
      <c r="AG135" s="22">
        <f t="shared" si="62"/>
        <v>0</v>
      </c>
      <c r="AH135" s="22">
        <f t="shared" si="63"/>
        <v>0</v>
      </c>
      <c r="AI135" s="34" t="s">
        <v>658</v>
      </c>
      <c r="AJ135" s="5">
        <f t="shared" si="64"/>
        <v>0</v>
      </c>
      <c r="AK135" s="5">
        <f t="shared" si="65"/>
        <v>0</v>
      </c>
      <c r="AL135" s="5">
        <f t="shared" si="66"/>
        <v>14900</v>
      </c>
      <c r="AN135" s="22">
        <v>21</v>
      </c>
      <c r="AO135" s="22">
        <f t="shared" si="50"/>
        <v>0</v>
      </c>
      <c r="AP135" s="22">
        <f t="shared" si="51"/>
        <v>14900</v>
      </c>
      <c r="AQ135" s="38" t="s">
        <v>7</v>
      </c>
      <c r="AV135" s="22">
        <f t="shared" si="67"/>
        <v>14900</v>
      </c>
      <c r="AW135" s="22">
        <f t="shared" si="68"/>
        <v>0</v>
      </c>
      <c r="AX135" s="22">
        <f t="shared" si="69"/>
        <v>14900</v>
      </c>
      <c r="AY135" s="77" t="s">
        <v>899</v>
      </c>
      <c r="AZ135" s="77" t="s">
        <v>919</v>
      </c>
      <c r="BA135" s="34" t="s">
        <v>934</v>
      </c>
      <c r="BC135" s="22">
        <f t="shared" si="70"/>
        <v>14900</v>
      </c>
      <c r="BD135" s="22">
        <f t="shared" si="71"/>
        <v>14900</v>
      </c>
      <c r="BE135" s="22">
        <v>0</v>
      </c>
      <c r="BF135" s="22">
        <f t="shared" si="72"/>
        <v>0</v>
      </c>
      <c r="BH135" s="5">
        <f t="shared" si="73"/>
        <v>0</v>
      </c>
      <c r="BI135" s="5">
        <f t="shared" si="74"/>
        <v>14900</v>
      </c>
      <c r="BJ135" s="5">
        <f t="shared" si="75"/>
        <v>14900</v>
      </c>
    </row>
    <row r="136" spans="1:62">
      <c r="A136" s="59"/>
      <c r="B136" s="28" t="s">
        <v>658</v>
      </c>
      <c r="C136" s="28" t="s">
        <v>33</v>
      </c>
      <c r="D136" s="28" t="s">
        <v>515</v>
      </c>
      <c r="E136" s="59" t="s">
        <v>6</v>
      </c>
      <c r="F136" s="59" t="s">
        <v>6</v>
      </c>
      <c r="G136" s="59" t="s">
        <v>6</v>
      </c>
      <c r="H136" s="8">
        <f>SUM(H137:H141)</f>
        <v>20202.693184243661</v>
      </c>
      <c r="I136" s="8">
        <f>SUM(I137:I141)</f>
        <v>16158.507215756339</v>
      </c>
      <c r="J136" s="8">
        <f>SUM(J137:J141)</f>
        <v>36361.200400000002</v>
      </c>
      <c r="K136" s="34"/>
      <c r="L136" s="8">
        <f>SUM(L137:L141)</f>
        <v>18.1025712</v>
      </c>
      <c r="M136" s="34"/>
      <c r="AI136" s="34" t="s">
        <v>658</v>
      </c>
      <c r="AS136" s="8">
        <f>SUM(AJ137:AJ141)</f>
        <v>0</v>
      </c>
      <c r="AT136" s="8">
        <f>SUM(AK137:AK141)</f>
        <v>0</v>
      </c>
      <c r="AU136" s="8">
        <f>SUM(AL137:AL141)</f>
        <v>36361.200400000002</v>
      </c>
    </row>
    <row r="137" spans="1:62">
      <c r="A137" s="1" t="s">
        <v>102</v>
      </c>
      <c r="B137" s="1" t="s">
        <v>658</v>
      </c>
      <c r="C137" s="1" t="s">
        <v>319</v>
      </c>
      <c r="D137" s="1" t="s">
        <v>516</v>
      </c>
      <c r="E137" s="1" t="s">
        <v>638</v>
      </c>
      <c r="F137" s="5">
        <f>'Rozpočet - vybrané sloupce'!AN117</f>
        <v>1.8759999999999999</v>
      </c>
      <c r="G137" s="5">
        <f>'Rozpočet - vybrané sloupce'!AS117</f>
        <v>2890</v>
      </c>
      <c r="H137" s="5">
        <f>F137*AO137</f>
        <v>4680.7700799999984</v>
      </c>
      <c r="I137" s="5">
        <f>F137*AP137</f>
        <v>740.86992000000077</v>
      </c>
      <c r="J137" s="5">
        <f>F137*G137</f>
        <v>5421.6399999999994</v>
      </c>
      <c r="K137" s="5">
        <v>3.1486999999999998</v>
      </c>
      <c r="L137" s="5">
        <f>F137*K137</f>
        <v>5.9069611999999996</v>
      </c>
      <c r="M137" s="38" t="s">
        <v>653</v>
      </c>
      <c r="Z137" s="22">
        <f>IF(AQ137="5",BJ137,0)</f>
        <v>0</v>
      </c>
      <c r="AB137" s="22">
        <f>IF(AQ137="1",BH137,0)</f>
        <v>4680.7700799999984</v>
      </c>
      <c r="AC137" s="22">
        <f>IF(AQ137="1",BI137,0)</f>
        <v>740.86992000000077</v>
      </c>
      <c r="AD137" s="22">
        <f>IF(AQ137="7",BH137,0)</f>
        <v>0</v>
      </c>
      <c r="AE137" s="22">
        <f>IF(AQ137="7",BI137,0)</f>
        <v>0</v>
      </c>
      <c r="AF137" s="22">
        <f>IF(AQ137="2",BH137,0)</f>
        <v>0</v>
      </c>
      <c r="AG137" s="22">
        <f>IF(AQ137="2",BI137,0)</f>
        <v>0</v>
      </c>
      <c r="AH137" s="22">
        <f>IF(AQ137="0",BJ137,0)</f>
        <v>0</v>
      </c>
      <c r="AI137" s="34" t="s">
        <v>658</v>
      </c>
      <c r="AJ137" s="5">
        <f>IF(AN137=0,J137,0)</f>
        <v>0</v>
      </c>
      <c r="AK137" s="5">
        <f>IF(AN137=15,J137,0)</f>
        <v>0</v>
      </c>
      <c r="AL137" s="5">
        <f>IF(AN137=21,J137,0)</f>
        <v>5421.6399999999994</v>
      </c>
      <c r="AN137" s="22">
        <v>21</v>
      </c>
      <c r="AO137" s="22">
        <f>G137*0.863349480968858</f>
        <v>2495.0799999999995</v>
      </c>
      <c r="AP137" s="22">
        <f>G137*(1-0.863349480968858)</f>
        <v>394.92000000000041</v>
      </c>
      <c r="AQ137" s="38" t="s">
        <v>7</v>
      </c>
      <c r="AV137" s="22">
        <f>AW137+AX137</f>
        <v>5421.6399999999994</v>
      </c>
      <c r="AW137" s="22">
        <f>F137*AO137</f>
        <v>4680.7700799999984</v>
      </c>
      <c r="AX137" s="22">
        <f>F137*AP137</f>
        <v>740.86992000000077</v>
      </c>
      <c r="AY137" s="77" t="s">
        <v>900</v>
      </c>
      <c r="AZ137" s="77" t="s">
        <v>921</v>
      </c>
      <c r="BA137" s="34" t="s">
        <v>934</v>
      </c>
      <c r="BC137" s="22">
        <f>AW137+AX137</f>
        <v>5421.6399999999994</v>
      </c>
      <c r="BD137" s="22">
        <f>G137/(100-BE137)*100</f>
        <v>2890</v>
      </c>
      <c r="BE137" s="22">
        <v>0</v>
      </c>
      <c r="BF137" s="22">
        <f>L137</f>
        <v>5.9069611999999996</v>
      </c>
      <c r="BH137" s="5">
        <f>F137*AO137</f>
        <v>4680.7700799999984</v>
      </c>
      <c r="BI137" s="5">
        <f>F137*AP137</f>
        <v>740.86992000000077</v>
      </c>
      <c r="BJ137" s="5">
        <f>F137*G137</f>
        <v>5421.6399999999994</v>
      </c>
    </row>
    <row r="138" spans="1:62">
      <c r="C138" s="67" t="s">
        <v>672</v>
      </c>
      <c r="D138" s="167" t="s">
        <v>748</v>
      </c>
      <c r="E138" s="168"/>
      <c r="F138" s="168"/>
      <c r="G138" s="168"/>
      <c r="H138" s="168"/>
      <c r="I138" s="168"/>
      <c r="J138" s="168"/>
      <c r="K138" s="168"/>
      <c r="L138" s="168"/>
      <c r="M138" s="168"/>
    </row>
    <row r="139" spans="1:62">
      <c r="A139" s="1" t="s">
        <v>103</v>
      </c>
      <c r="B139" s="1" t="s">
        <v>658</v>
      </c>
      <c r="C139" s="1" t="s">
        <v>320</v>
      </c>
      <c r="D139" s="1" t="s">
        <v>517</v>
      </c>
      <c r="E139" s="1" t="s">
        <v>636</v>
      </c>
      <c r="F139" s="5">
        <f>'Rozpočet - vybrané sloupce'!AN118</f>
        <v>27.05</v>
      </c>
      <c r="G139" s="5">
        <f>'Rozpočet - vybrané sloupce'!AS118</f>
        <v>563</v>
      </c>
      <c r="H139" s="5">
        <f>F139*AO139</f>
        <v>4371.5504999999985</v>
      </c>
      <c r="I139" s="5">
        <f>F139*AP139</f>
        <v>10857.599500000004</v>
      </c>
      <c r="J139" s="5">
        <f>F139*G139</f>
        <v>15229.15</v>
      </c>
      <c r="K139" s="5">
        <v>3.9199999999999999E-2</v>
      </c>
      <c r="L139" s="5">
        <f>F139*K139</f>
        <v>1.06036</v>
      </c>
      <c r="M139" s="38" t="s">
        <v>653</v>
      </c>
      <c r="Z139" s="22">
        <f>IF(AQ139="5",BJ139,0)</f>
        <v>0</v>
      </c>
      <c r="AB139" s="22">
        <f>IF(AQ139="1",BH139,0)</f>
        <v>4371.5504999999985</v>
      </c>
      <c r="AC139" s="22">
        <f>IF(AQ139="1",BI139,0)</f>
        <v>10857.599500000004</v>
      </c>
      <c r="AD139" s="22">
        <f>IF(AQ139="7",BH139,0)</f>
        <v>0</v>
      </c>
      <c r="AE139" s="22">
        <f>IF(AQ139="7",BI139,0)</f>
        <v>0</v>
      </c>
      <c r="AF139" s="22">
        <f>IF(AQ139="2",BH139,0)</f>
        <v>0</v>
      </c>
      <c r="AG139" s="22">
        <f>IF(AQ139="2",BI139,0)</f>
        <v>0</v>
      </c>
      <c r="AH139" s="22">
        <f>IF(AQ139="0",BJ139,0)</f>
        <v>0</v>
      </c>
      <c r="AI139" s="34" t="s">
        <v>658</v>
      </c>
      <c r="AJ139" s="5">
        <f>IF(AN139=0,J139,0)</f>
        <v>0</v>
      </c>
      <c r="AK139" s="5">
        <f>IF(AN139=15,J139,0)</f>
        <v>0</v>
      </c>
      <c r="AL139" s="5">
        <f>IF(AN139=21,J139,0)</f>
        <v>15229.15</v>
      </c>
      <c r="AN139" s="22">
        <v>21</v>
      </c>
      <c r="AO139" s="22">
        <f>G139*0.287051509769094</f>
        <v>161.60999999999993</v>
      </c>
      <c r="AP139" s="22">
        <f>G139*(1-0.287051509769094)</f>
        <v>401.3900000000001</v>
      </c>
      <c r="AQ139" s="38" t="s">
        <v>7</v>
      </c>
      <c r="AV139" s="22">
        <f>AW139+AX139</f>
        <v>15229.150000000001</v>
      </c>
      <c r="AW139" s="22">
        <f>F139*AO139</f>
        <v>4371.5504999999985</v>
      </c>
      <c r="AX139" s="22">
        <f>F139*AP139</f>
        <v>10857.599500000004</v>
      </c>
      <c r="AY139" s="77" t="s">
        <v>900</v>
      </c>
      <c r="AZ139" s="77" t="s">
        <v>921</v>
      </c>
      <c r="BA139" s="34" t="s">
        <v>934</v>
      </c>
      <c r="BC139" s="22">
        <f>AW139+AX139</f>
        <v>15229.150000000001</v>
      </c>
      <c r="BD139" s="22">
        <f>G139/(100-BE139)*100</f>
        <v>563</v>
      </c>
      <c r="BE139" s="22">
        <v>0</v>
      </c>
      <c r="BF139" s="22">
        <f>L139</f>
        <v>1.06036</v>
      </c>
      <c r="BH139" s="5">
        <f>F139*AO139</f>
        <v>4371.5504999999985</v>
      </c>
      <c r="BI139" s="5">
        <f>F139*AP139</f>
        <v>10857.599500000004</v>
      </c>
      <c r="BJ139" s="5">
        <f>F139*G139</f>
        <v>15229.15</v>
      </c>
    </row>
    <row r="140" spans="1:62">
      <c r="A140" s="1" t="s">
        <v>104</v>
      </c>
      <c r="B140" s="1" t="s">
        <v>658</v>
      </c>
      <c r="C140" s="1" t="s">
        <v>321</v>
      </c>
      <c r="D140" s="1" t="s">
        <v>518</v>
      </c>
      <c r="E140" s="1" t="s">
        <v>636</v>
      </c>
      <c r="F140" s="5">
        <f>'Rozpočet - vybrané sloupce'!AN119</f>
        <v>27.05</v>
      </c>
      <c r="G140" s="5">
        <f>'Rozpočet - vybrané sloupce'!AS119</f>
        <v>123.49</v>
      </c>
      <c r="H140" s="5">
        <f>F140*AO140</f>
        <v>0</v>
      </c>
      <c r="I140" s="5">
        <f>F140*AP140</f>
        <v>3340.4045000000001</v>
      </c>
      <c r="J140" s="5">
        <f>F140*G140</f>
        <v>3340.4045000000001</v>
      </c>
      <c r="K140" s="5">
        <v>0</v>
      </c>
      <c r="L140" s="5">
        <f>F140*K140</f>
        <v>0</v>
      </c>
      <c r="M140" s="38" t="s">
        <v>653</v>
      </c>
      <c r="Z140" s="22">
        <f>IF(AQ140="5",BJ140,0)</f>
        <v>0</v>
      </c>
      <c r="AB140" s="22">
        <f>IF(AQ140="1",BH140,0)</f>
        <v>0</v>
      </c>
      <c r="AC140" s="22">
        <f>IF(AQ140="1",BI140,0)</f>
        <v>3340.4045000000001</v>
      </c>
      <c r="AD140" s="22">
        <f>IF(AQ140="7",BH140,0)</f>
        <v>0</v>
      </c>
      <c r="AE140" s="22">
        <f>IF(AQ140="7",BI140,0)</f>
        <v>0</v>
      </c>
      <c r="AF140" s="22">
        <f>IF(AQ140="2",BH140,0)</f>
        <v>0</v>
      </c>
      <c r="AG140" s="22">
        <f>IF(AQ140="2",BI140,0)</f>
        <v>0</v>
      </c>
      <c r="AH140" s="22">
        <f>IF(AQ140="0",BJ140,0)</f>
        <v>0</v>
      </c>
      <c r="AI140" s="34" t="s">
        <v>658</v>
      </c>
      <c r="AJ140" s="5">
        <f>IF(AN140=0,J140,0)</f>
        <v>0</v>
      </c>
      <c r="AK140" s="5">
        <f>IF(AN140=15,J140,0)</f>
        <v>0</v>
      </c>
      <c r="AL140" s="5">
        <f>IF(AN140=21,J140,0)</f>
        <v>3340.4045000000001</v>
      </c>
      <c r="AN140" s="22">
        <v>21</v>
      </c>
      <c r="AO140" s="22">
        <f>G140*0</f>
        <v>0</v>
      </c>
      <c r="AP140" s="22">
        <f>G140*(1-0)</f>
        <v>123.49</v>
      </c>
      <c r="AQ140" s="38" t="s">
        <v>7</v>
      </c>
      <c r="AV140" s="22">
        <f>AW140+AX140</f>
        <v>3340.4045000000001</v>
      </c>
      <c r="AW140" s="22">
        <f>F140*AO140</f>
        <v>0</v>
      </c>
      <c r="AX140" s="22">
        <f>F140*AP140</f>
        <v>3340.4045000000001</v>
      </c>
      <c r="AY140" s="77" t="s">
        <v>900</v>
      </c>
      <c r="AZ140" s="77" t="s">
        <v>921</v>
      </c>
      <c r="BA140" s="34" t="s">
        <v>934</v>
      </c>
      <c r="BC140" s="22">
        <f>AW140+AX140</f>
        <v>3340.4045000000001</v>
      </c>
      <c r="BD140" s="22">
        <f>G140/(100-BE140)*100</f>
        <v>123.49</v>
      </c>
      <c r="BE140" s="22">
        <v>0</v>
      </c>
      <c r="BF140" s="22">
        <f>L140</f>
        <v>0</v>
      </c>
      <c r="BH140" s="5">
        <f>F140*AO140</f>
        <v>0</v>
      </c>
      <c r="BI140" s="5">
        <f>F140*AP140</f>
        <v>3340.4045000000001</v>
      </c>
      <c r="BJ140" s="5">
        <f>F140*G140</f>
        <v>3340.4045000000001</v>
      </c>
    </row>
    <row r="141" spans="1:62">
      <c r="A141" s="1" t="s">
        <v>105</v>
      </c>
      <c r="B141" s="1" t="s">
        <v>658</v>
      </c>
      <c r="C141" s="1" t="s">
        <v>322</v>
      </c>
      <c r="D141" s="1" t="s">
        <v>519</v>
      </c>
      <c r="E141" s="1" t="s">
        <v>638</v>
      </c>
      <c r="F141" s="5">
        <f>'Rozpočet - vybrané sloupce'!AN120</f>
        <v>4.41</v>
      </c>
      <c r="G141" s="5">
        <f>'Rozpočet - vybrané sloupce'!AS120</f>
        <v>2804.99</v>
      </c>
      <c r="H141" s="5">
        <f>F141*AO141</f>
        <v>11150.372604243667</v>
      </c>
      <c r="I141" s="5">
        <f>F141*AP141</f>
        <v>1219.6332957563332</v>
      </c>
      <c r="J141" s="5">
        <f>F141*G141</f>
        <v>12370.0059</v>
      </c>
      <c r="K141" s="5">
        <v>2.5249999999999999</v>
      </c>
      <c r="L141" s="5">
        <f>F141*K141</f>
        <v>11.135249999999999</v>
      </c>
      <c r="M141" s="38" t="s">
        <v>653</v>
      </c>
      <c r="Z141" s="22">
        <f>IF(AQ141="5",BJ141,0)</f>
        <v>0</v>
      </c>
      <c r="AB141" s="22">
        <f>IF(AQ141="1",BH141,0)</f>
        <v>11150.372604243667</v>
      </c>
      <c r="AC141" s="22">
        <f>IF(AQ141="1",BI141,0)</f>
        <v>1219.6332957563332</v>
      </c>
      <c r="AD141" s="22">
        <f>IF(AQ141="7",BH141,0)</f>
        <v>0</v>
      </c>
      <c r="AE141" s="22">
        <f>IF(AQ141="7",BI141,0)</f>
        <v>0</v>
      </c>
      <c r="AF141" s="22">
        <f>IF(AQ141="2",BH141,0)</f>
        <v>0</v>
      </c>
      <c r="AG141" s="22">
        <f>IF(AQ141="2",BI141,0)</f>
        <v>0</v>
      </c>
      <c r="AH141" s="22">
        <f>IF(AQ141="0",BJ141,0)</f>
        <v>0</v>
      </c>
      <c r="AI141" s="34" t="s">
        <v>658</v>
      </c>
      <c r="AJ141" s="5">
        <f>IF(AN141=0,J141,0)</f>
        <v>0</v>
      </c>
      <c r="AK141" s="5">
        <f>IF(AN141=15,J141,0)</f>
        <v>0</v>
      </c>
      <c r="AL141" s="5">
        <f>IF(AN141=21,J141,0)</f>
        <v>12370.0059</v>
      </c>
      <c r="AN141" s="22">
        <v>21</v>
      </c>
      <c r="AO141" s="22">
        <f>G141*0.901403984313675</f>
        <v>2528.4291619600149</v>
      </c>
      <c r="AP141" s="22">
        <f>G141*(1-0.901403984313675)</f>
        <v>276.56083803998484</v>
      </c>
      <c r="AQ141" s="38" t="s">
        <v>7</v>
      </c>
      <c r="AV141" s="22">
        <f>AW141+AX141</f>
        <v>12370.0059</v>
      </c>
      <c r="AW141" s="22">
        <f>F141*AO141</f>
        <v>11150.372604243667</v>
      </c>
      <c r="AX141" s="22">
        <f>F141*AP141</f>
        <v>1219.6332957563332</v>
      </c>
      <c r="AY141" s="77" t="s">
        <v>900</v>
      </c>
      <c r="AZ141" s="77" t="s">
        <v>921</v>
      </c>
      <c r="BA141" s="34" t="s">
        <v>934</v>
      </c>
      <c r="BC141" s="22">
        <f>AW141+AX141</f>
        <v>12370.0059</v>
      </c>
      <c r="BD141" s="22">
        <f>G141/(100-BE141)*100</f>
        <v>2804.99</v>
      </c>
      <c r="BE141" s="22">
        <v>0</v>
      </c>
      <c r="BF141" s="22">
        <f>L141</f>
        <v>11.135249999999999</v>
      </c>
      <c r="BH141" s="5">
        <f>F141*AO141</f>
        <v>11150.372604243667</v>
      </c>
      <c r="BI141" s="5">
        <f>F141*AP141</f>
        <v>1219.6332957563332</v>
      </c>
      <c r="BJ141" s="5">
        <f>F141*G141</f>
        <v>12370.0059</v>
      </c>
    </row>
    <row r="142" spans="1:62">
      <c r="C142" s="67" t="s">
        <v>672</v>
      </c>
      <c r="D142" s="167" t="s">
        <v>752</v>
      </c>
      <c r="E142" s="168"/>
      <c r="F142" s="168"/>
      <c r="G142" s="168"/>
      <c r="H142" s="168"/>
      <c r="I142" s="168"/>
      <c r="J142" s="168"/>
      <c r="K142" s="168"/>
      <c r="L142" s="168"/>
      <c r="M142" s="168"/>
    </row>
    <row r="143" spans="1:62">
      <c r="A143" s="59"/>
      <c r="B143" s="28" t="s">
        <v>658</v>
      </c>
      <c r="C143" s="28" t="s">
        <v>40</v>
      </c>
      <c r="D143" s="28" t="s">
        <v>520</v>
      </c>
      <c r="E143" s="59" t="s">
        <v>6</v>
      </c>
      <c r="F143" s="59" t="s">
        <v>6</v>
      </c>
      <c r="G143" s="59" t="s">
        <v>6</v>
      </c>
      <c r="H143" s="8">
        <f>SUM(H144:H144)</f>
        <v>9193.4700000000012</v>
      </c>
      <c r="I143" s="8">
        <f>SUM(I144:I144)</f>
        <v>5067.5299999999988</v>
      </c>
      <c r="J143" s="8">
        <f>SUM(J144:J144)</f>
        <v>14261</v>
      </c>
      <c r="K143" s="34"/>
      <c r="L143" s="8">
        <f>SUM(L144:L144)</f>
        <v>0.56003999999999998</v>
      </c>
      <c r="M143" s="34"/>
      <c r="AI143" s="34" t="s">
        <v>658</v>
      </c>
      <c r="AS143" s="8">
        <f>SUM(AJ144:AJ144)</f>
        <v>0</v>
      </c>
      <c r="AT143" s="8">
        <f>SUM(AK144:AK144)</f>
        <v>0</v>
      </c>
      <c r="AU143" s="8">
        <f>SUM(AL144:AL144)</f>
        <v>14261</v>
      </c>
    </row>
    <row r="144" spans="1:62">
      <c r="A144" s="1" t="s">
        <v>106</v>
      </c>
      <c r="B144" s="1" t="s">
        <v>658</v>
      </c>
      <c r="C144" s="1" t="s">
        <v>323</v>
      </c>
      <c r="D144" s="1" t="s">
        <v>521</v>
      </c>
      <c r="E144" s="1" t="s">
        <v>635</v>
      </c>
      <c r="F144" s="5">
        <f>'Rozpočet - vybrané sloupce'!AN122</f>
        <v>13</v>
      </c>
      <c r="G144" s="5">
        <f>'Rozpočet - vybrané sloupce'!AS122</f>
        <v>1097</v>
      </c>
      <c r="H144" s="5">
        <f>F144*AO144</f>
        <v>9193.4700000000012</v>
      </c>
      <c r="I144" s="5">
        <f>F144*AP144</f>
        <v>5067.5299999999988</v>
      </c>
      <c r="J144" s="5">
        <f>F144*G144</f>
        <v>14261</v>
      </c>
      <c r="K144" s="5">
        <v>4.308E-2</v>
      </c>
      <c r="L144" s="5">
        <f>F144*K144</f>
        <v>0.56003999999999998</v>
      </c>
      <c r="M144" s="38" t="s">
        <v>653</v>
      </c>
      <c r="Z144" s="22">
        <f>IF(AQ144="5",BJ144,0)</f>
        <v>0</v>
      </c>
      <c r="AB144" s="22">
        <f>IF(AQ144="1",BH144,0)</f>
        <v>9193.4700000000012</v>
      </c>
      <c r="AC144" s="22">
        <f>IF(AQ144="1",BI144,0)</f>
        <v>5067.5299999999988</v>
      </c>
      <c r="AD144" s="22">
        <f>IF(AQ144="7",BH144,0)</f>
        <v>0</v>
      </c>
      <c r="AE144" s="22">
        <f>IF(AQ144="7",BI144,0)</f>
        <v>0</v>
      </c>
      <c r="AF144" s="22">
        <f>IF(AQ144="2",BH144,0)</f>
        <v>0</v>
      </c>
      <c r="AG144" s="22">
        <f>IF(AQ144="2",BI144,0)</f>
        <v>0</v>
      </c>
      <c r="AH144" s="22">
        <f>IF(AQ144="0",BJ144,0)</f>
        <v>0</v>
      </c>
      <c r="AI144" s="34" t="s">
        <v>658</v>
      </c>
      <c r="AJ144" s="5">
        <f>IF(AN144=0,J144,0)</f>
        <v>0</v>
      </c>
      <c r="AK144" s="5">
        <f>IF(AN144=15,J144,0)</f>
        <v>0</v>
      </c>
      <c r="AL144" s="5">
        <f>IF(AN144=21,J144,0)</f>
        <v>14261</v>
      </c>
      <c r="AN144" s="22">
        <v>21</v>
      </c>
      <c r="AO144" s="22">
        <f>G144*0.644658158614403</f>
        <v>707.19</v>
      </c>
      <c r="AP144" s="22">
        <f>G144*(1-0.644658158614403)</f>
        <v>389.80999999999989</v>
      </c>
      <c r="AQ144" s="38" t="s">
        <v>7</v>
      </c>
      <c r="AV144" s="22">
        <f>AW144+AX144</f>
        <v>14261</v>
      </c>
      <c r="AW144" s="22">
        <f>F144*AO144</f>
        <v>9193.4700000000012</v>
      </c>
      <c r="AX144" s="22">
        <f>F144*AP144</f>
        <v>5067.5299999999988</v>
      </c>
      <c r="AY144" s="77" t="s">
        <v>901</v>
      </c>
      <c r="AZ144" s="77" t="s">
        <v>922</v>
      </c>
      <c r="BA144" s="34" t="s">
        <v>934</v>
      </c>
      <c r="BC144" s="22">
        <f>AW144+AX144</f>
        <v>14261</v>
      </c>
      <c r="BD144" s="22">
        <f>G144/(100-BE144)*100</f>
        <v>1097</v>
      </c>
      <c r="BE144" s="22">
        <v>0</v>
      </c>
      <c r="BF144" s="22">
        <f>L144</f>
        <v>0.56003999999999998</v>
      </c>
      <c r="BH144" s="5">
        <f>F144*AO144</f>
        <v>9193.4700000000012</v>
      </c>
      <c r="BI144" s="5">
        <f>F144*AP144</f>
        <v>5067.5299999999988</v>
      </c>
      <c r="BJ144" s="5">
        <f>F144*G144</f>
        <v>14261</v>
      </c>
    </row>
    <row r="145" spans="1:62">
      <c r="A145" s="59"/>
      <c r="B145" s="28" t="s">
        <v>658</v>
      </c>
      <c r="C145" s="28" t="s">
        <v>49</v>
      </c>
      <c r="D145" s="28" t="s">
        <v>522</v>
      </c>
      <c r="E145" s="59" t="s">
        <v>6</v>
      </c>
      <c r="F145" s="59" t="s">
        <v>6</v>
      </c>
      <c r="G145" s="59" t="s">
        <v>6</v>
      </c>
      <c r="H145" s="8">
        <f>SUM(H146:H146)</f>
        <v>5755.9600000000009</v>
      </c>
      <c r="I145" s="8">
        <f>SUM(I146:I146)</f>
        <v>3924.0599999999995</v>
      </c>
      <c r="J145" s="8">
        <f>SUM(J146:J146)</f>
        <v>9680.02</v>
      </c>
      <c r="K145" s="34"/>
      <c r="L145" s="8">
        <f>SUM(L146:L146)</f>
        <v>4.1303999999999998</v>
      </c>
      <c r="M145" s="34"/>
      <c r="AI145" s="34" t="s">
        <v>658</v>
      </c>
      <c r="AS145" s="8">
        <f>SUM(AJ146:AJ146)</f>
        <v>0</v>
      </c>
      <c r="AT145" s="8">
        <f>SUM(AK146:AK146)</f>
        <v>0</v>
      </c>
      <c r="AU145" s="8">
        <f>SUM(AL146:AL146)</f>
        <v>9680.02</v>
      </c>
    </row>
    <row r="146" spans="1:62">
      <c r="A146" s="1" t="s">
        <v>107</v>
      </c>
      <c r="B146" s="1" t="s">
        <v>658</v>
      </c>
      <c r="C146" s="1" t="s">
        <v>324</v>
      </c>
      <c r="D146" s="1" t="s">
        <v>523</v>
      </c>
      <c r="E146" s="1" t="s">
        <v>637</v>
      </c>
      <c r="F146" s="5">
        <f>'Rozpočet - vybrané sloupce'!AN124</f>
        <v>2</v>
      </c>
      <c r="G146" s="5">
        <f>'Rozpočet - vybrané sloupce'!AS124</f>
        <v>4840.01</v>
      </c>
      <c r="H146" s="5">
        <f>F146*AO146</f>
        <v>5755.9600000000009</v>
      </c>
      <c r="I146" s="5">
        <f>F146*AP146</f>
        <v>3924.0599999999995</v>
      </c>
      <c r="J146" s="5">
        <f>F146*G146</f>
        <v>9680.02</v>
      </c>
      <c r="K146" s="5">
        <v>2.0651999999999999</v>
      </c>
      <c r="L146" s="5">
        <f>F146*K146</f>
        <v>4.1303999999999998</v>
      </c>
      <c r="M146" s="38" t="s">
        <v>655</v>
      </c>
      <c r="Z146" s="22">
        <f>IF(AQ146="5",BJ146,0)</f>
        <v>0</v>
      </c>
      <c r="AB146" s="22">
        <f>IF(AQ146="1",BH146,0)</f>
        <v>5755.9600000000009</v>
      </c>
      <c r="AC146" s="22">
        <f>IF(AQ146="1",BI146,0)</f>
        <v>3924.0599999999995</v>
      </c>
      <c r="AD146" s="22">
        <f>IF(AQ146="7",BH146,0)</f>
        <v>0</v>
      </c>
      <c r="AE146" s="22">
        <f>IF(AQ146="7",BI146,0)</f>
        <v>0</v>
      </c>
      <c r="AF146" s="22">
        <f>IF(AQ146="2",BH146,0)</f>
        <v>0</v>
      </c>
      <c r="AG146" s="22">
        <f>IF(AQ146="2",BI146,0)</f>
        <v>0</v>
      </c>
      <c r="AH146" s="22">
        <f>IF(AQ146="0",BJ146,0)</f>
        <v>0</v>
      </c>
      <c r="AI146" s="34" t="s">
        <v>658</v>
      </c>
      <c r="AJ146" s="5">
        <f>IF(AN146=0,J146,0)</f>
        <v>0</v>
      </c>
      <c r="AK146" s="5">
        <f>IF(AN146=15,J146,0)</f>
        <v>0</v>
      </c>
      <c r="AL146" s="5">
        <f>IF(AN146=21,J146,0)</f>
        <v>9680.02</v>
      </c>
      <c r="AN146" s="22">
        <v>21</v>
      </c>
      <c r="AO146" s="22">
        <f>G146*0.594622738382772</f>
        <v>2877.9800000000005</v>
      </c>
      <c r="AP146" s="22">
        <f>G146*(1-0.594622738382772)</f>
        <v>1962.0299999999997</v>
      </c>
      <c r="AQ146" s="38" t="s">
        <v>7</v>
      </c>
      <c r="AV146" s="22">
        <f>AW146+AX146</f>
        <v>9680.02</v>
      </c>
      <c r="AW146" s="22">
        <f>F146*AO146</f>
        <v>5755.9600000000009</v>
      </c>
      <c r="AX146" s="22">
        <f>F146*AP146</f>
        <v>3924.0599999999995</v>
      </c>
      <c r="AY146" s="77" t="s">
        <v>902</v>
      </c>
      <c r="AZ146" s="77" t="s">
        <v>923</v>
      </c>
      <c r="BA146" s="34" t="s">
        <v>934</v>
      </c>
      <c r="BC146" s="22">
        <f>AW146+AX146</f>
        <v>9680.02</v>
      </c>
      <c r="BD146" s="22">
        <f>G146/(100-BE146)*100</f>
        <v>4840.01</v>
      </c>
      <c r="BE146" s="22">
        <v>0</v>
      </c>
      <c r="BF146" s="22">
        <f>L146</f>
        <v>4.1303999999999998</v>
      </c>
      <c r="BH146" s="5">
        <f>F146*AO146</f>
        <v>5755.9600000000009</v>
      </c>
      <c r="BI146" s="5">
        <f>F146*AP146</f>
        <v>3924.0599999999995</v>
      </c>
      <c r="BJ146" s="5">
        <f>F146*G146</f>
        <v>9680.02</v>
      </c>
    </row>
    <row r="147" spans="1:62">
      <c r="A147" s="59"/>
      <c r="B147" s="28" t="s">
        <v>658</v>
      </c>
      <c r="C147" s="28" t="s">
        <v>62</v>
      </c>
      <c r="D147" s="28" t="s">
        <v>524</v>
      </c>
      <c r="E147" s="59" t="s">
        <v>6</v>
      </c>
      <c r="F147" s="59" t="s">
        <v>6</v>
      </c>
      <c r="G147" s="59" t="s">
        <v>6</v>
      </c>
      <c r="H147" s="8">
        <f>SUM(H148:H156)</f>
        <v>237375.82798355803</v>
      </c>
      <c r="I147" s="8">
        <f>SUM(I148:I156)</f>
        <v>42594.650516441929</v>
      </c>
      <c r="J147" s="8">
        <f>SUM(J148:J156)</f>
        <v>279970.47850000003</v>
      </c>
      <c r="K147" s="34"/>
      <c r="L147" s="8">
        <f>SUM(L148:L156)</f>
        <v>581.97582599999998</v>
      </c>
      <c r="M147" s="34"/>
      <c r="AI147" s="34" t="s">
        <v>658</v>
      </c>
      <c r="AS147" s="8">
        <f>SUM(AJ148:AJ156)</f>
        <v>0</v>
      </c>
      <c r="AT147" s="8">
        <f>SUM(AK148:AK156)</f>
        <v>0</v>
      </c>
      <c r="AU147" s="8">
        <f>SUM(AL148:AL156)</f>
        <v>279970.47850000003</v>
      </c>
    </row>
    <row r="148" spans="1:62">
      <c r="A148" s="1" t="s">
        <v>108</v>
      </c>
      <c r="B148" s="1" t="s">
        <v>658</v>
      </c>
      <c r="C148" s="1" t="s">
        <v>325</v>
      </c>
      <c r="D148" s="1" t="s">
        <v>525</v>
      </c>
      <c r="E148" s="1" t="s">
        <v>636</v>
      </c>
      <c r="F148" s="5">
        <f>'Rozpočet - vybrané sloupce'!AN126</f>
        <v>80</v>
      </c>
      <c r="G148" s="5">
        <f>'Rozpočet - vybrané sloupce'!AS126</f>
        <v>76.599999999999994</v>
      </c>
      <c r="H148" s="5">
        <f>F148*AO148</f>
        <v>5012.0000000000018</v>
      </c>
      <c r="I148" s="5">
        <f>F148*AP148</f>
        <v>1115.999999999997</v>
      </c>
      <c r="J148" s="5">
        <f>F148*G148</f>
        <v>6128</v>
      </c>
      <c r="K148" s="5">
        <v>0.2024</v>
      </c>
      <c r="L148" s="5">
        <f>F148*K148</f>
        <v>16.192</v>
      </c>
      <c r="M148" s="38" t="s">
        <v>653</v>
      </c>
      <c r="Z148" s="22">
        <f>IF(AQ148="5",BJ148,0)</f>
        <v>0</v>
      </c>
      <c r="AB148" s="22">
        <f>IF(AQ148="1",BH148,0)</f>
        <v>5012.0000000000018</v>
      </c>
      <c r="AC148" s="22">
        <f>IF(AQ148="1",BI148,0)</f>
        <v>1115.999999999997</v>
      </c>
      <c r="AD148" s="22">
        <f>IF(AQ148="7",BH148,0)</f>
        <v>0</v>
      </c>
      <c r="AE148" s="22">
        <f>IF(AQ148="7",BI148,0)</f>
        <v>0</v>
      </c>
      <c r="AF148" s="22">
        <f>IF(AQ148="2",BH148,0)</f>
        <v>0</v>
      </c>
      <c r="AG148" s="22">
        <f>IF(AQ148="2",BI148,0)</f>
        <v>0</v>
      </c>
      <c r="AH148" s="22">
        <f>IF(AQ148="0",BJ148,0)</f>
        <v>0</v>
      </c>
      <c r="AI148" s="34" t="s">
        <v>658</v>
      </c>
      <c r="AJ148" s="5">
        <f>IF(AN148=0,J148,0)</f>
        <v>0</v>
      </c>
      <c r="AK148" s="5">
        <f>IF(AN148=15,J148,0)</f>
        <v>0</v>
      </c>
      <c r="AL148" s="5">
        <f>IF(AN148=21,J148,0)</f>
        <v>6128</v>
      </c>
      <c r="AN148" s="22">
        <v>21</v>
      </c>
      <c r="AO148" s="22">
        <f>G148*0.817885117493473</f>
        <v>62.650000000000027</v>
      </c>
      <c r="AP148" s="22">
        <f>G148*(1-0.817885117493473)</f>
        <v>13.949999999999964</v>
      </c>
      <c r="AQ148" s="38" t="s">
        <v>7</v>
      </c>
      <c r="AV148" s="22">
        <f>AW148+AX148</f>
        <v>6127.9999999999991</v>
      </c>
      <c r="AW148" s="22">
        <f>F148*AO148</f>
        <v>5012.0000000000018</v>
      </c>
      <c r="AX148" s="22">
        <f>F148*AP148</f>
        <v>1115.999999999997</v>
      </c>
      <c r="AY148" s="77" t="s">
        <v>903</v>
      </c>
      <c r="AZ148" s="77" t="s">
        <v>924</v>
      </c>
      <c r="BA148" s="34" t="s">
        <v>934</v>
      </c>
      <c r="BC148" s="22">
        <f>AW148+AX148</f>
        <v>6127.9999999999991</v>
      </c>
      <c r="BD148" s="22">
        <f>G148/(100-BE148)*100</f>
        <v>76.599999999999994</v>
      </c>
      <c r="BE148" s="22">
        <v>0</v>
      </c>
      <c r="BF148" s="22">
        <f>L148</f>
        <v>16.192</v>
      </c>
      <c r="BH148" s="5">
        <f>F148*AO148</f>
        <v>5012.0000000000018</v>
      </c>
      <c r="BI148" s="5">
        <f>F148*AP148</f>
        <v>1115.999999999997</v>
      </c>
      <c r="BJ148" s="5">
        <f>F148*G148</f>
        <v>6128</v>
      </c>
    </row>
    <row r="149" spans="1:62" ht="25.5">
      <c r="D149" s="3" t="s">
        <v>526</v>
      </c>
    </row>
    <row r="150" spans="1:62">
      <c r="A150" s="1" t="s">
        <v>109</v>
      </c>
      <c r="B150" s="1" t="s">
        <v>658</v>
      </c>
      <c r="C150" s="1" t="s">
        <v>326</v>
      </c>
      <c r="D150" s="1" t="s">
        <v>527</v>
      </c>
      <c r="E150" s="1" t="s">
        <v>636</v>
      </c>
      <c r="F150" s="5">
        <f>'Rozpočet - vybrané sloupce'!AN128</f>
        <v>654</v>
      </c>
      <c r="G150" s="5">
        <f>'Rozpočet - vybrané sloupce'!AS128</f>
        <v>174</v>
      </c>
      <c r="H150" s="5">
        <f>F150*AO150</f>
        <v>97210.559999999954</v>
      </c>
      <c r="I150" s="5">
        <f>F150*AP150</f>
        <v>16585.440000000046</v>
      </c>
      <c r="J150" s="5">
        <f>F150*G150</f>
        <v>113796</v>
      </c>
      <c r="K150" s="5">
        <v>0.378</v>
      </c>
      <c r="L150" s="5">
        <f>F150*K150</f>
        <v>247.21199999999999</v>
      </c>
      <c r="M150" s="38" t="s">
        <v>653</v>
      </c>
      <c r="Z150" s="22">
        <f>IF(AQ150="5",BJ150,0)</f>
        <v>0</v>
      </c>
      <c r="AB150" s="22">
        <f>IF(AQ150="1",BH150,0)</f>
        <v>97210.559999999954</v>
      </c>
      <c r="AC150" s="22">
        <f>IF(AQ150="1",BI150,0)</f>
        <v>16585.440000000046</v>
      </c>
      <c r="AD150" s="22">
        <f>IF(AQ150="7",BH150,0)</f>
        <v>0</v>
      </c>
      <c r="AE150" s="22">
        <f>IF(AQ150="7",BI150,0)</f>
        <v>0</v>
      </c>
      <c r="AF150" s="22">
        <f>IF(AQ150="2",BH150,0)</f>
        <v>0</v>
      </c>
      <c r="AG150" s="22">
        <f>IF(AQ150="2",BI150,0)</f>
        <v>0</v>
      </c>
      <c r="AH150" s="22">
        <f>IF(AQ150="0",BJ150,0)</f>
        <v>0</v>
      </c>
      <c r="AI150" s="34" t="s">
        <v>658</v>
      </c>
      <c r="AJ150" s="5">
        <f>IF(AN150=0,J150,0)</f>
        <v>0</v>
      </c>
      <c r="AK150" s="5">
        <f>IF(AN150=15,J150,0)</f>
        <v>0</v>
      </c>
      <c r="AL150" s="5">
        <f>IF(AN150=21,J150,0)</f>
        <v>113796</v>
      </c>
      <c r="AN150" s="22">
        <v>21</v>
      </c>
      <c r="AO150" s="22">
        <f>G150*0.854252873563218</f>
        <v>148.63999999999993</v>
      </c>
      <c r="AP150" s="22">
        <f>G150*(1-0.854252873563218)</f>
        <v>25.36000000000007</v>
      </c>
      <c r="AQ150" s="38" t="s">
        <v>7</v>
      </c>
      <c r="AV150" s="22">
        <f>AW150+AX150</f>
        <v>113796</v>
      </c>
      <c r="AW150" s="22">
        <f>F150*AO150</f>
        <v>97210.559999999954</v>
      </c>
      <c r="AX150" s="22">
        <f>F150*AP150</f>
        <v>16585.440000000046</v>
      </c>
      <c r="AY150" s="77" t="s">
        <v>903</v>
      </c>
      <c r="AZ150" s="77" t="s">
        <v>924</v>
      </c>
      <c r="BA150" s="34" t="s">
        <v>934</v>
      </c>
      <c r="BC150" s="22">
        <f>AW150+AX150</f>
        <v>113796</v>
      </c>
      <c r="BD150" s="22">
        <f>G150/(100-BE150)*100</f>
        <v>174</v>
      </c>
      <c r="BE150" s="22">
        <v>0</v>
      </c>
      <c r="BF150" s="22">
        <f>L150</f>
        <v>247.21199999999999</v>
      </c>
      <c r="BH150" s="5">
        <f>F150*AO150</f>
        <v>97210.559999999954</v>
      </c>
      <c r="BI150" s="5">
        <f>F150*AP150</f>
        <v>16585.440000000046</v>
      </c>
      <c r="BJ150" s="5">
        <f>F150*G150</f>
        <v>113796</v>
      </c>
    </row>
    <row r="151" spans="1:62">
      <c r="D151" s="3" t="s">
        <v>528</v>
      </c>
    </row>
    <row r="152" spans="1:62">
      <c r="A152" s="1" t="s">
        <v>110</v>
      </c>
      <c r="B152" s="1" t="s">
        <v>658</v>
      </c>
      <c r="C152" s="1" t="s">
        <v>327</v>
      </c>
      <c r="D152" s="1" t="s">
        <v>527</v>
      </c>
      <c r="E152" s="1" t="s">
        <v>636</v>
      </c>
      <c r="F152" s="5">
        <f>'Rozpočet - vybrané sloupce'!AN130</f>
        <v>821.67</v>
      </c>
      <c r="G152" s="5">
        <f>'Rozpočet - vybrané sloupce'!AS130</f>
        <v>185.5</v>
      </c>
      <c r="H152" s="5">
        <f>F152*AO152</f>
        <v>131582.2294835581</v>
      </c>
      <c r="I152" s="5">
        <f>F152*AP152</f>
        <v>20837.555516441887</v>
      </c>
      <c r="J152" s="5">
        <f>F152*G152</f>
        <v>152419.785</v>
      </c>
      <c r="K152" s="5">
        <v>0.378</v>
      </c>
      <c r="L152" s="5">
        <f>F152*K152</f>
        <v>310.59125999999998</v>
      </c>
      <c r="M152" s="38" t="s">
        <v>653</v>
      </c>
      <c r="Z152" s="22">
        <f>IF(AQ152="5",BJ152,0)</f>
        <v>0</v>
      </c>
      <c r="AB152" s="22">
        <f>IF(AQ152="1",BH152,0)</f>
        <v>131582.2294835581</v>
      </c>
      <c r="AC152" s="22">
        <f>IF(AQ152="1",BI152,0)</f>
        <v>20837.555516441887</v>
      </c>
      <c r="AD152" s="22">
        <f>IF(AQ152="7",BH152,0)</f>
        <v>0</v>
      </c>
      <c r="AE152" s="22">
        <f>IF(AQ152="7",BI152,0)</f>
        <v>0</v>
      </c>
      <c r="AF152" s="22">
        <f>IF(AQ152="2",BH152,0)</f>
        <v>0</v>
      </c>
      <c r="AG152" s="22">
        <f>IF(AQ152="2",BI152,0)</f>
        <v>0</v>
      </c>
      <c r="AH152" s="22">
        <f>IF(AQ152="0",BJ152,0)</f>
        <v>0</v>
      </c>
      <c r="AI152" s="34" t="s">
        <v>658</v>
      </c>
      <c r="AJ152" s="5">
        <f>IF(AN152=0,J152,0)</f>
        <v>0</v>
      </c>
      <c r="AK152" s="5">
        <f>IF(AN152=15,J152,0)</f>
        <v>0</v>
      </c>
      <c r="AL152" s="5">
        <f>IF(AN152=21,J152,0)</f>
        <v>152419.785</v>
      </c>
      <c r="AN152" s="22">
        <v>21</v>
      </c>
      <c r="AO152" s="22">
        <f>G152*0.863288381384071</f>
        <v>160.13999474674517</v>
      </c>
      <c r="AP152" s="22">
        <f>G152*(1-0.863288381384071)</f>
        <v>25.360005253254823</v>
      </c>
      <c r="AQ152" s="38" t="s">
        <v>7</v>
      </c>
      <c r="AV152" s="22">
        <f>AW152+AX152</f>
        <v>152419.78499999997</v>
      </c>
      <c r="AW152" s="22">
        <f>F152*AO152</f>
        <v>131582.2294835581</v>
      </c>
      <c r="AX152" s="22">
        <f>F152*AP152</f>
        <v>20837.555516441887</v>
      </c>
      <c r="AY152" s="77" t="s">
        <v>903</v>
      </c>
      <c r="AZ152" s="77" t="s">
        <v>924</v>
      </c>
      <c r="BA152" s="34" t="s">
        <v>934</v>
      </c>
      <c r="BC152" s="22">
        <f>AW152+AX152</f>
        <v>152419.78499999997</v>
      </c>
      <c r="BD152" s="22">
        <f>G152/(100-BE152)*100</f>
        <v>185.5</v>
      </c>
      <c r="BE152" s="22">
        <v>0</v>
      </c>
      <c r="BF152" s="22">
        <f>L152</f>
        <v>310.59125999999998</v>
      </c>
      <c r="BH152" s="5">
        <f>F152*AO152</f>
        <v>131582.2294835581</v>
      </c>
      <c r="BI152" s="5">
        <f>F152*AP152</f>
        <v>20837.555516441887</v>
      </c>
      <c r="BJ152" s="5">
        <f>F152*G152</f>
        <v>152419.785</v>
      </c>
    </row>
    <row r="153" spans="1:62">
      <c r="D153" s="3" t="s">
        <v>529</v>
      </c>
    </row>
    <row r="154" spans="1:62">
      <c r="A154" s="1" t="s">
        <v>111</v>
      </c>
      <c r="B154" s="1" t="s">
        <v>658</v>
      </c>
      <c r="C154" s="1" t="s">
        <v>325</v>
      </c>
      <c r="D154" s="1" t="s">
        <v>525</v>
      </c>
      <c r="E154" s="1" t="s">
        <v>636</v>
      </c>
      <c r="F154" s="5">
        <f>'Rozpočet - vybrané sloupce'!AN132</f>
        <v>39.299999999999997</v>
      </c>
      <c r="G154" s="5">
        <f>'Rozpočet - vybrané sloupce'!AS132</f>
        <v>76.599999999999994</v>
      </c>
      <c r="H154" s="5">
        <f>F154*AO154</f>
        <v>2462.1450000000009</v>
      </c>
      <c r="I154" s="5">
        <f>F154*AP154</f>
        <v>548.23499999999854</v>
      </c>
      <c r="J154" s="5">
        <f>F154*G154</f>
        <v>3010.3799999999997</v>
      </c>
      <c r="K154" s="5">
        <v>0.2024</v>
      </c>
      <c r="L154" s="5">
        <f>F154*K154</f>
        <v>7.9543199999999992</v>
      </c>
      <c r="M154" s="38" t="s">
        <v>653</v>
      </c>
      <c r="Z154" s="22">
        <f>IF(AQ154="5",BJ154,0)</f>
        <v>0</v>
      </c>
      <c r="AB154" s="22">
        <f>IF(AQ154="1",BH154,0)</f>
        <v>2462.1450000000009</v>
      </c>
      <c r="AC154" s="22">
        <f>IF(AQ154="1",BI154,0)</f>
        <v>548.23499999999854</v>
      </c>
      <c r="AD154" s="22">
        <f>IF(AQ154="7",BH154,0)</f>
        <v>0</v>
      </c>
      <c r="AE154" s="22">
        <f>IF(AQ154="7",BI154,0)</f>
        <v>0</v>
      </c>
      <c r="AF154" s="22">
        <f>IF(AQ154="2",BH154,0)</f>
        <v>0</v>
      </c>
      <c r="AG154" s="22">
        <f>IF(AQ154="2",BI154,0)</f>
        <v>0</v>
      </c>
      <c r="AH154" s="22">
        <f>IF(AQ154="0",BJ154,0)</f>
        <v>0</v>
      </c>
      <c r="AI154" s="34" t="s">
        <v>658</v>
      </c>
      <c r="AJ154" s="5">
        <f>IF(AN154=0,J154,0)</f>
        <v>0</v>
      </c>
      <c r="AK154" s="5">
        <f>IF(AN154=15,J154,0)</f>
        <v>0</v>
      </c>
      <c r="AL154" s="5">
        <f>IF(AN154=21,J154,0)</f>
        <v>3010.3799999999997</v>
      </c>
      <c r="AN154" s="22">
        <v>21</v>
      </c>
      <c r="AO154" s="22">
        <f>G154*0.817885117493473</f>
        <v>62.650000000000027</v>
      </c>
      <c r="AP154" s="22">
        <f>G154*(1-0.817885117493473)</f>
        <v>13.949999999999964</v>
      </c>
      <c r="AQ154" s="38" t="s">
        <v>7</v>
      </c>
      <c r="AV154" s="22">
        <f>AW154+AX154</f>
        <v>3010.3799999999992</v>
      </c>
      <c r="AW154" s="22">
        <f>F154*AO154</f>
        <v>2462.1450000000009</v>
      </c>
      <c r="AX154" s="22">
        <f>F154*AP154</f>
        <v>548.23499999999854</v>
      </c>
      <c r="AY154" s="77" t="s">
        <v>903</v>
      </c>
      <c r="AZ154" s="77" t="s">
        <v>924</v>
      </c>
      <c r="BA154" s="34" t="s">
        <v>934</v>
      </c>
      <c r="BC154" s="22">
        <f>AW154+AX154</f>
        <v>3010.3799999999992</v>
      </c>
      <c r="BD154" s="22">
        <f>G154/(100-BE154)*100</f>
        <v>76.599999999999994</v>
      </c>
      <c r="BE154" s="22">
        <v>0</v>
      </c>
      <c r="BF154" s="22">
        <f>L154</f>
        <v>7.9543199999999992</v>
      </c>
      <c r="BH154" s="5">
        <f>F154*AO154</f>
        <v>2462.1450000000009</v>
      </c>
      <c r="BI154" s="5">
        <f>F154*AP154</f>
        <v>548.23499999999854</v>
      </c>
      <c r="BJ154" s="5">
        <f>F154*G154</f>
        <v>3010.3799999999997</v>
      </c>
    </row>
    <row r="155" spans="1:62">
      <c r="A155" s="1" t="s">
        <v>112</v>
      </c>
      <c r="B155" s="1" t="s">
        <v>658</v>
      </c>
      <c r="C155" s="1" t="s">
        <v>328</v>
      </c>
      <c r="D155" s="1" t="s">
        <v>530</v>
      </c>
      <c r="E155" s="1" t="s">
        <v>636</v>
      </c>
      <c r="F155" s="5">
        <f>'Rozpočet - vybrané sloupce'!AN133</f>
        <v>119.3</v>
      </c>
      <c r="G155" s="5">
        <f>'Rozpočet - vybrané sloupce'!AS133</f>
        <v>29.4</v>
      </c>
      <c r="H155" s="5">
        <f>F155*AO155</f>
        <v>0</v>
      </c>
      <c r="I155" s="5">
        <f>F155*AP155</f>
        <v>3507.4199999999996</v>
      </c>
      <c r="J155" s="5">
        <f>F155*G155</f>
        <v>3507.4199999999996</v>
      </c>
      <c r="K155" s="5">
        <v>0</v>
      </c>
      <c r="L155" s="5">
        <f>F155*K155</f>
        <v>0</v>
      </c>
      <c r="M155" s="38" t="s">
        <v>653</v>
      </c>
      <c r="Z155" s="22">
        <f>IF(AQ155="5",BJ155,0)</f>
        <v>0</v>
      </c>
      <c r="AB155" s="22">
        <f>IF(AQ155="1",BH155,0)</f>
        <v>0</v>
      </c>
      <c r="AC155" s="22">
        <f>IF(AQ155="1",BI155,0)</f>
        <v>3507.4199999999996</v>
      </c>
      <c r="AD155" s="22">
        <f>IF(AQ155="7",BH155,0)</f>
        <v>0</v>
      </c>
      <c r="AE155" s="22">
        <f>IF(AQ155="7",BI155,0)</f>
        <v>0</v>
      </c>
      <c r="AF155" s="22">
        <f>IF(AQ155="2",BH155,0)</f>
        <v>0</v>
      </c>
      <c r="AG155" s="22">
        <f>IF(AQ155="2",BI155,0)</f>
        <v>0</v>
      </c>
      <c r="AH155" s="22">
        <f>IF(AQ155="0",BJ155,0)</f>
        <v>0</v>
      </c>
      <c r="AI155" s="34" t="s">
        <v>658</v>
      </c>
      <c r="AJ155" s="5">
        <f>IF(AN155=0,J155,0)</f>
        <v>0</v>
      </c>
      <c r="AK155" s="5">
        <f>IF(AN155=15,J155,0)</f>
        <v>0</v>
      </c>
      <c r="AL155" s="5">
        <f>IF(AN155=21,J155,0)</f>
        <v>3507.4199999999996</v>
      </c>
      <c r="AN155" s="22">
        <v>21</v>
      </c>
      <c r="AO155" s="22">
        <f>G155*0</f>
        <v>0</v>
      </c>
      <c r="AP155" s="22">
        <f>G155*(1-0)</f>
        <v>29.4</v>
      </c>
      <c r="AQ155" s="38" t="s">
        <v>7</v>
      </c>
      <c r="AV155" s="22">
        <f>AW155+AX155</f>
        <v>3507.4199999999996</v>
      </c>
      <c r="AW155" s="22">
        <f>F155*AO155</f>
        <v>0</v>
      </c>
      <c r="AX155" s="22">
        <f>F155*AP155</f>
        <v>3507.4199999999996</v>
      </c>
      <c r="AY155" s="77" t="s">
        <v>903</v>
      </c>
      <c r="AZ155" s="77" t="s">
        <v>924</v>
      </c>
      <c r="BA155" s="34" t="s">
        <v>934</v>
      </c>
      <c r="BC155" s="22">
        <f>AW155+AX155</f>
        <v>3507.4199999999996</v>
      </c>
      <c r="BD155" s="22">
        <f>G155/(100-BE155)*100</f>
        <v>29.4</v>
      </c>
      <c r="BE155" s="22">
        <v>0</v>
      </c>
      <c r="BF155" s="22">
        <f>L155</f>
        <v>0</v>
      </c>
      <c r="BH155" s="5">
        <f>F155*AO155</f>
        <v>0</v>
      </c>
      <c r="BI155" s="5">
        <f>F155*AP155</f>
        <v>3507.4199999999996</v>
      </c>
      <c r="BJ155" s="5">
        <f>F155*G155</f>
        <v>3507.4199999999996</v>
      </c>
    </row>
    <row r="156" spans="1:62">
      <c r="A156" s="2" t="s">
        <v>113</v>
      </c>
      <c r="B156" s="2" t="s">
        <v>658</v>
      </c>
      <c r="C156" s="2" t="s">
        <v>329</v>
      </c>
      <c r="D156" s="2" t="s">
        <v>531</v>
      </c>
      <c r="E156" s="2" t="s">
        <v>636</v>
      </c>
      <c r="F156" s="6">
        <f>'Rozpočet - vybrané sloupce'!AN134</f>
        <v>131.22999999999999</v>
      </c>
      <c r="G156" s="6">
        <f>'Rozpočet - vybrané sloupce'!AS134</f>
        <v>8.4499999999999993</v>
      </c>
      <c r="H156" s="6">
        <f>F156*AO156</f>
        <v>1108.8934999999999</v>
      </c>
      <c r="I156" s="6">
        <f>F156*AP156</f>
        <v>0</v>
      </c>
      <c r="J156" s="6">
        <f>F156*G156</f>
        <v>1108.8934999999999</v>
      </c>
      <c r="K156" s="6">
        <v>2.0000000000000001E-4</v>
      </c>
      <c r="L156" s="6">
        <f>F156*K156</f>
        <v>2.6245999999999998E-2</v>
      </c>
      <c r="M156" s="39" t="s">
        <v>653</v>
      </c>
      <c r="Z156" s="22">
        <f>IF(AQ156="5",BJ156,0)</f>
        <v>0</v>
      </c>
      <c r="AB156" s="22">
        <f>IF(AQ156="1",BH156,0)</f>
        <v>1108.8934999999999</v>
      </c>
      <c r="AC156" s="22">
        <f>IF(AQ156="1",BI156,0)</f>
        <v>0</v>
      </c>
      <c r="AD156" s="22">
        <f>IF(AQ156="7",BH156,0)</f>
        <v>0</v>
      </c>
      <c r="AE156" s="22">
        <f>IF(AQ156="7",BI156,0)</f>
        <v>0</v>
      </c>
      <c r="AF156" s="22">
        <f>IF(AQ156="2",BH156,0)</f>
        <v>0</v>
      </c>
      <c r="AG156" s="22">
        <f>IF(AQ156="2",BI156,0)</f>
        <v>0</v>
      </c>
      <c r="AH156" s="22">
        <f>IF(AQ156="0",BJ156,0)</f>
        <v>0</v>
      </c>
      <c r="AI156" s="34" t="s">
        <v>658</v>
      </c>
      <c r="AJ156" s="6">
        <f>IF(AN156=0,J156,0)</f>
        <v>0</v>
      </c>
      <c r="AK156" s="6">
        <f>IF(AN156=15,J156,0)</f>
        <v>0</v>
      </c>
      <c r="AL156" s="6">
        <f>IF(AN156=21,J156,0)</f>
        <v>1108.8934999999999</v>
      </c>
      <c r="AN156" s="22">
        <v>21</v>
      </c>
      <c r="AO156" s="22">
        <f>G156*1</f>
        <v>8.4499999999999993</v>
      </c>
      <c r="AP156" s="22">
        <f>G156*(1-1)</f>
        <v>0</v>
      </c>
      <c r="AQ156" s="39" t="s">
        <v>7</v>
      </c>
      <c r="AV156" s="22">
        <f>AW156+AX156</f>
        <v>1108.8934999999999</v>
      </c>
      <c r="AW156" s="22">
        <f>F156*AO156</f>
        <v>1108.8934999999999</v>
      </c>
      <c r="AX156" s="22">
        <f>F156*AP156</f>
        <v>0</v>
      </c>
      <c r="AY156" s="77" t="s">
        <v>903</v>
      </c>
      <c r="AZ156" s="77" t="s">
        <v>924</v>
      </c>
      <c r="BA156" s="34" t="s">
        <v>934</v>
      </c>
      <c r="BC156" s="22">
        <f>AW156+AX156</f>
        <v>1108.8934999999999</v>
      </c>
      <c r="BD156" s="22">
        <f>G156/(100-BE156)*100</f>
        <v>8.4499999999999993</v>
      </c>
      <c r="BE156" s="22">
        <v>0</v>
      </c>
      <c r="BF156" s="22">
        <f>L156</f>
        <v>2.6245999999999998E-2</v>
      </c>
      <c r="BH156" s="6">
        <f>F156*AO156</f>
        <v>1108.8934999999999</v>
      </c>
      <c r="BI156" s="6">
        <f>F156*AP156</f>
        <v>0</v>
      </c>
      <c r="BJ156" s="6">
        <f>F156*G156</f>
        <v>1108.8934999999999</v>
      </c>
    </row>
    <row r="157" spans="1:62" ht="25.7" customHeight="1">
      <c r="C157" s="67" t="s">
        <v>672</v>
      </c>
      <c r="D157" s="167" t="s">
        <v>758</v>
      </c>
      <c r="E157" s="168"/>
      <c r="F157" s="168"/>
      <c r="G157" s="168"/>
      <c r="H157" s="168"/>
      <c r="I157" s="168"/>
      <c r="J157" s="168"/>
      <c r="K157" s="168"/>
      <c r="L157" s="168"/>
      <c r="M157" s="168"/>
    </row>
    <row r="158" spans="1:62">
      <c r="A158" s="59"/>
      <c r="B158" s="28" t="s">
        <v>658</v>
      </c>
      <c r="C158" s="28" t="s">
        <v>63</v>
      </c>
      <c r="D158" s="28" t="s">
        <v>532</v>
      </c>
      <c r="E158" s="59" t="s">
        <v>6</v>
      </c>
      <c r="F158" s="59" t="s">
        <v>6</v>
      </c>
      <c r="G158" s="59" t="s">
        <v>6</v>
      </c>
      <c r="H158" s="8">
        <f>SUM(H159:H164)</f>
        <v>415247.19999999972</v>
      </c>
      <c r="I158" s="8">
        <f>SUM(I159:I164)</f>
        <v>229698.38000000027</v>
      </c>
      <c r="J158" s="8">
        <f>SUM(J159:J164)</f>
        <v>644945.58000000007</v>
      </c>
      <c r="K158" s="34"/>
      <c r="L158" s="8">
        <f>SUM(L159:L164)</f>
        <v>178.01639999999998</v>
      </c>
      <c r="M158" s="34"/>
      <c r="AI158" s="34" t="s">
        <v>658</v>
      </c>
      <c r="AS158" s="8">
        <f>SUM(AJ159:AJ164)</f>
        <v>0</v>
      </c>
      <c r="AT158" s="8">
        <f>SUM(AK159:AK164)</f>
        <v>0</v>
      </c>
      <c r="AU158" s="8">
        <f>SUM(AL159:AL164)</f>
        <v>644945.58000000007</v>
      </c>
    </row>
    <row r="159" spans="1:62">
      <c r="A159" s="1" t="s">
        <v>114</v>
      </c>
      <c r="B159" s="1" t="s">
        <v>658</v>
      </c>
      <c r="C159" s="1" t="s">
        <v>330</v>
      </c>
      <c r="D159" s="1" t="s">
        <v>533</v>
      </c>
      <c r="E159" s="1" t="s">
        <v>636</v>
      </c>
      <c r="F159" s="5">
        <f>'Rozpočet - vybrané sloupce'!AN136</f>
        <v>622</v>
      </c>
      <c r="G159" s="5">
        <f>'Rozpočet - vybrané sloupce'!AS136</f>
        <v>338.99</v>
      </c>
      <c r="H159" s="5">
        <f>F159*AO159</f>
        <v>132013.27999999991</v>
      </c>
      <c r="I159" s="5">
        <f>F159*AP159</f>
        <v>78838.500000000102</v>
      </c>
      <c r="J159" s="5">
        <f>F159*G159</f>
        <v>210851.78</v>
      </c>
      <c r="K159" s="5">
        <v>0.10373</v>
      </c>
      <c r="L159" s="5">
        <f>F159*K159</f>
        <v>64.520060000000001</v>
      </c>
      <c r="M159" s="38" t="s">
        <v>653</v>
      </c>
      <c r="Z159" s="22">
        <f>IF(AQ159="5",BJ159,0)</f>
        <v>0</v>
      </c>
      <c r="AB159" s="22">
        <f>IF(AQ159="1",BH159,0)</f>
        <v>132013.27999999991</v>
      </c>
      <c r="AC159" s="22">
        <f>IF(AQ159="1",BI159,0)</f>
        <v>78838.500000000102</v>
      </c>
      <c r="AD159" s="22">
        <f>IF(AQ159="7",BH159,0)</f>
        <v>0</v>
      </c>
      <c r="AE159" s="22">
        <f>IF(AQ159="7",BI159,0)</f>
        <v>0</v>
      </c>
      <c r="AF159" s="22">
        <f>IF(AQ159="2",BH159,0)</f>
        <v>0</v>
      </c>
      <c r="AG159" s="22">
        <f>IF(AQ159="2",BI159,0)</f>
        <v>0</v>
      </c>
      <c r="AH159" s="22">
        <f>IF(AQ159="0",BJ159,0)</f>
        <v>0</v>
      </c>
      <c r="AI159" s="34" t="s">
        <v>658</v>
      </c>
      <c r="AJ159" s="5">
        <f>IF(AN159=0,J159,0)</f>
        <v>0</v>
      </c>
      <c r="AK159" s="5">
        <f>IF(AN159=15,J159,0)</f>
        <v>0</v>
      </c>
      <c r="AL159" s="5">
        <f>IF(AN159=21,J159,0)</f>
        <v>210851.78</v>
      </c>
      <c r="AN159" s="22">
        <v>21</v>
      </c>
      <c r="AO159" s="22">
        <f>G159*0.626095165049116</f>
        <v>212.23999999999984</v>
      </c>
      <c r="AP159" s="22">
        <f>G159*(1-0.626095165049116)</f>
        <v>126.75000000000017</v>
      </c>
      <c r="AQ159" s="38" t="s">
        <v>7</v>
      </c>
      <c r="AV159" s="22">
        <f>AW159+AX159</f>
        <v>210851.78000000003</v>
      </c>
      <c r="AW159" s="22">
        <f>F159*AO159</f>
        <v>132013.27999999991</v>
      </c>
      <c r="AX159" s="22">
        <f>F159*AP159</f>
        <v>78838.500000000102</v>
      </c>
      <c r="AY159" s="77" t="s">
        <v>904</v>
      </c>
      <c r="AZ159" s="77" t="s">
        <v>924</v>
      </c>
      <c r="BA159" s="34" t="s">
        <v>934</v>
      </c>
      <c r="BC159" s="22">
        <f>AW159+AX159</f>
        <v>210851.78000000003</v>
      </c>
      <c r="BD159" s="22">
        <f>G159/(100-BE159)*100</f>
        <v>338.99</v>
      </c>
      <c r="BE159" s="22">
        <v>0</v>
      </c>
      <c r="BF159" s="22">
        <f>L159</f>
        <v>64.520060000000001</v>
      </c>
      <c r="BH159" s="5">
        <f>F159*AO159</f>
        <v>132013.27999999991</v>
      </c>
      <c r="BI159" s="5">
        <f>F159*AP159</f>
        <v>78838.500000000102</v>
      </c>
      <c r="BJ159" s="5">
        <f>F159*G159</f>
        <v>210851.78</v>
      </c>
    </row>
    <row r="160" spans="1:62">
      <c r="D160" s="3" t="s">
        <v>534</v>
      </c>
    </row>
    <row r="161" spans="1:62">
      <c r="A161" s="1" t="s">
        <v>115</v>
      </c>
      <c r="B161" s="1" t="s">
        <v>658</v>
      </c>
      <c r="C161" s="1" t="s">
        <v>331</v>
      </c>
      <c r="D161" s="1" t="s">
        <v>535</v>
      </c>
      <c r="E161" s="1" t="s">
        <v>636</v>
      </c>
      <c r="F161" s="5">
        <f>'Rozpočet - vybrané sloupce'!AN138</f>
        <v>622</v>
      </c>
      <c r="G161" s="5">
        <f>'Rozpočet - vybrané sloupce'!AS138</f>
        <v>13.51</v>
      </c>
      <c r="H161" s="5">
        <f>F161*AO161</f>
        <v>7725.24</v>
      </c>
      <c r="I161" s="5">
        <f>F161*AP161</f>
        <v>677.97999999999945</v>
      </c>
      <c r="J161" s="5">
        <f>F161*G161</f>
        <v>8403.2199999999993</v>
      </c>
      <c r="K161" s="5">
        <v>6.0999999999999997E-4</v>
      </c>
      <c r="L161" s="5">
        <f>F161*K161</f>
        <v>0.37941999999999998</v>
      </c>
      <c r="M161" s="38" t="s">
        <v>653</v>
      </c>
      <c r="Z161" s="22">
        <f>IF(AQ161="5",BJ161,0)</f>
        <v>0</v>
      </c>
      <c r="AB161" s="22">
        <f>IF(AQ161="1",BH161,0)</f>
        <v>7725.24</v>
      </c>
      <c r="AC161" s="22">
        <f>IF(AQ161="1",BI161,0)</f>
        <v>677.97999999999945</v>
      </c>
      <c r="AD161" s="22">
        <f>IF(AQ161="7",BH161,0)</f>
        <v>0</v>
      </c>
      <c r="AE161" s="22">
        <f>IF(AQ161="7",BI161,0)</f>
        <v>0</v>
      </c>
      <c r="AF161" s="22">
        <f>IF(AQ161="2",BH161,0)</f>
        <v>0</v>
      </c>
      <c r="AG161" s="22">
        <f>IF(AQ161="2",BI161,0)</f>
        <v>0</v>
      </c>
      <c r="AH161" s="22">
        <f>IF(AQ161="0",BJ161,0)</f>
        <v>0</v>
      </c>
      <c r="AI161" s="34" t="s">
        <v>658</v>
      </c>
      <c r="AJ161" s="5">
        <f>IF(AN161=0,J161,0)</f>
        <v>0</v>
      </c>
      <c r="AK161" s="5">
        <f>IF(AN161=15,J161,0)</f>
        <v>0</v>
      </c>
      <c r="AL161" s="5">
        <f>IF(AN161=21,J161,0)</f>
        <v>8403.2199999999993</v>
      </c>
      <c r="AN161" s="22">
        <v>21</v>
      </c>
      <c r="AO161" s="22">
        <f>G161*0.919319022945966</f>
        <v>12.42</v>
      </c>
      <c r="AP161" s="22">
        <f>G161*(1-0.919319022945966)</f>
        <v>1.0899999999999992</v>
      </c>
      <c r="AQ161" s="38" t="s">
        <v>7</v>
      </c>
      <c r="AV161" s="22">
        <f>AW161+AX161</f>
        <v>8403.2199999999993</v>
      </c>
      <c r="AW161" s="22">
        <f>F161*AO161</f>
        <v>7725.24</v>
      </c>
      <c r="AX161" s="22">
        <f>F161*AP161</f>
        <v>677.97999999999945</v>
      </c>
      <c r="AY161" s="77" t="s">
        <v>904</v>
      </c>
      <c r="AZ161" s="77" t="s">
        <v>924</v>
      </c>
      <c r="BA161" s="34" t="s">
        <v>934</v>
      </c>
      <c r="BC161" s="22">
        <f>AW161+AX161</f>
        <v>8403.2199999999993</v>
      </c>
      <c r="BD161" s="22">
        <f>G161/(100-BE161)*100</f>
        <v>13.51</v>
      </c>
      <c r="BE161" s="22">
        <v>0</v>
      </c>
      <c r="BF161" s="22">
        <f>L161</f>
        <v>0.37941999999999998</v>
      </c>
      <c r="BH161" s="5">
        <f>F161*AO161</f>
        <v>7725.24</v>
      </c>
      <c r="BI161" s="5">
        <f>F161*AP161</f>
        <v>677.97999999999945</v>
      </c>
      <c r="BJ161" s="5">
        <f>F161*G161</f>
        <v>8403.2199999999993</v>
      </c>
    </row>
    <row r="162" spans="1:62">
      <c r="A162" s="1" t="s">
        <v>116</v>
      </c>
      <c r="B162" s="1" t="s">
        <v>658</v>
      </c>
      <c r="C162" s="1" t="s">
        <v>332</v>
      </c>
      <c r="D162" s="1" t="s">
        <v>536</v>
      </c>
      <c r="E162" s="1" t="s">
        <v>636</v>
      </c>
      <c r="F162" s="5">
        <f>'Rozpočet - vybrané sloupce'!AN139</f>
        <v>622</v>
      </c>
      <c r="G162" s="5">
        <f>'Rozpočet - vybrané sloupce'!AS139</f>
        <v>665.99</v>
      </c>
      <c r="H162" s="5">
        <f>F162*AO162</f>
        <v>271670.93999999983</v>
      </c>
      <c r="I162" s="5">
        <f>F162*AP162</f>
        <v>142574.84000000017</v>
      </c>
      <c r="J162" s="5">
        <f>F162*G162</f>
        <v>414245.78</v>
      </c>
      <c r="K162" s="5">
        <v>0.18151999999999999</v>
      </c>
      <c r="L162" s="5">
        <f>F162*K162</f>
        <v>112.90544</v>
      </c>
      <c r="M162" s="38" t="s">
        <v>653</v>
      </c>
      <c r="Z162" s="22">
        <f>IF(AQ162="5",BJ162,0)</f>
        <v>0</v>
      </c>
      <c r="AB162" s="22">
        <f>IF(AQ162="1",BH162,0)</f>
        <v>271670.93999999983</v>
      </c>
      <c r="AC162" s="22">
        <f>IF(AQ162="1",BI162,0)</f>
        <v>142574.84000000017</v>
      </c>
      <c r="AD162" s="22">
        <f>IF(AQ162="7",BH162,0)</f>
        <v>0</v>
      </c>
      <c r="AE162" s="22">
        <f>IF(AQ162="7",BI162,0)</f>
        <v>0</v>
      </c>
      <c r="AF162" s="22">
        <f>IF(AQ162="2",BH162,0)</f>
        <v>0</v>
      </c>
      <c r="AG162" s="22">
        <f>IF(AQ162="2",BI162,0)</f>
        <v>0</v>
      </c>
      <c r="AH162" s="22">
        <f>IF(AQ162="0",BJ162,0)</f>
        <v>0</v>
      </c>
      <c r="AI162" s="34" t="s">
        <v>658</v>
      </c>
      <c r="AJ162" s="5">
        <f>IF(AN162=0,J162,0)</f>
        <v>0</v>
      </c>
      <c r="AK162" s="5">
        <f>IF(AN162=15,J162,0)</f>
        <v>0</v>
      </c>
      <c r="AL162" s="5">
        <f>IF(AN162=21,J162,0)</f>
        <v>414245.78</v>
      </c>
      <c r="AN162" s="22">
        <v>21</v>
      </c>
      <c r="AO162" s="22">
        <f>G162*0.655820657967837</f>
        <v>436.76999999999975</v>
      </c>
      <c r="AP162" s="22">
        <f>G162*(1-0.655820657967837)</f>
        <v>229.22000000000028</v>
      </c>
      <c r="AQ162" s="38" t="s">
        <v>7</v>
      </c>
      <c r="AV162" s="22">
        <f>AW162+AX162</f>
        <v>414245.78</v>
      </c>
      <c r="AW162" s="22">
        <f>F162*AO162</f>
        <v>271670.93999999983</v>
      </c>
      <c r="AX162" s="22">
        <f>F162*AP162</f>
        <v>142574.84000000017</v>
      </c>
      <c r="AY162" s="77" t="s">
        <v>904</v>
      </c>
      <c r="AZ162" s="77" t="s">
        <v>924</v>
      </c>
      <c r="BA162" s="34" t="s">
        <v>934</v>
      </c>
      <c r="BC162" s="22">
        <f>AW162+AX162</f>
        <v>414245.78</v>
      </c>
      <c r="BD162" s="22">
        <f>G162/(100-BE162)*100</f>
        <v>665.99</v>
      </c>
      <c r="BE162" s="22">
        <v>0</v>
      </c>
      <c r="BF162" s="22">
        <f>L162</f>
        <v>112.90544</v>
      </c>
      <c r="BH162" s="5">
        <f>F162*AO162</f>
        <v>271670.93999999983</v>
      </c>
      <c r="BI162" s="5">
        <f>F162*AP162</f>
        <v>142574.84000000017</v>
      </c>
      <c r="BJ162" s="5">
        <f>F162*G162</f>
        <v>414245.78</v>
      </c>
    </row>
    <row r="163" spans="1:62">
      <c r="D163" s="3" t="s">
        <v>534</v>
      </c>
    </row>
    <row r="164" spans="1:62">
      <c r="A164" s="1" t="s">
        <v>117</v>
      </c>
      <c r="B164" s="1" t="s">
        <v>658</v>
      </c>
      <c r="C164" s="1" t="s">
        <v>333</v>
      </c>
      <c r="D164" s="1" t="s">
        <v>537</v>
      </c>
      <c r="E164" s="1" t="s">
        <v>636</v>
      </c>
      <c r="F164" s="5">
        <f>'Rozpočet - vybrané sloupce'!AN141</f>
        <v>622</v>
      </c>
      <c r="G164" s="5">
        <f>'Rozpočet - vybrané sloupce'!AS141</f>
        <v>18.399999999999999</v>
      </c>
      <c r="H164" s="5">
        <f>F164*AO164</f>
        <v>3837.7400000000025</v>
      </c>
      <c r="I164" s="5">
        <f>F164*AP164</f>
        <v>7607.0599999999968</v>
      </c>
      <c r="J164" s="5">
        <f>F164*G164</f>
        <v>11444.8</v>
      </c>
      <c r="K164" s="5">
        <v>3.4000000000000002E-4</v>
      </c>
      <c r="L164" s="5">
        <f>F164*K164</f>
        <v>0.21148</v>
      </c>
      <c r="M164" s="38" t="s">
        <v>653</v>
      </c>
      <c r="Z164" s="22">
        <f>IF(AQ164="5",BJ164,0)</f>
        <v>0</v>
      </c>
      <c r="AB164" s="22">
        <f>IF(AQ164="1",BH164,0)</f>
        <v>3837.7400000000025</v>
      </c>
      <c r="AC164" s="22">
        <f>IF(AQ164="1",BI164,0)</f>
        <v>7607.0599999999968</v>
      </c>
      <c r="AD164" s="22">
        <f>IF(AQ164="7",BH164,0)</f>
        <v>0</v>
      </c>
      <c r="AE164" s="22">
        <f>IF(AQ164="7",BI164,0)</f>
        <v>0</v>
      </c>
      <c r="AF164" s="22">
        <f>IF(AQ164="2",BH164,0)</f>
        <v>0</v>
      </c>
      <c r="AG164" s="22">
        <f>IF(AQ164="2",BI164,0)</f>
        <v>0</v>
      </c>
      <c r="AH164" s="22">
        <f>IF(AQ164="0",BJ164,0)</f>
        <v>0</v>
      </c>
      <c r="AI164" s="34" t="s">
        <v>658</v>
      </c>
      <c r="AJ164" s="5">
        <f>IF(AN164=0,J164,0)</f>
        <v>0</v>
      </c>
      <c r="AK164" s="5">
        <f>IF(AN164=15,J164,0)</f>
        <v>0</v>
      </c>
      <c r="AL164" s="5">
        <f>IF(AN164=21,J164,0)</f>
        <v>11444.8</v>
      </c>
      <c r="AN164" s="22">
        <v>21</v>
      </c>
      <c r="AO164" s="22">
        <f>G164*0.335326086956522</f>
        <v>6.1700000000000044</v>
      </c>
      <c r="AP164" s="22">
        <f>G164*(1-0.335326086956522)</f>
        <v>12.229999999999995</v>
      </c>
      <c r="AQ164" s="38" t="s">
        <v>7</v>
      </c>
      <c r="AV164" s="22">
        <f>AW164+AX164</f>
        <v>11444.8</v>
      </c>
      <c r="AW164" s="22">
        <f>F164*AO164</f>
        <v>3837.7400000000025</v>
      </c>
      <c r="AX164" s="22">
        <f>F164*AP164</f>
        <v>7607.0599999999968</v>
      </c>
      <c r="AY164" s="77" t="s">
        <v>904</v>
      </c>
      <c r="AZ164" s="77" t="s">
        <v>924</v>
      </c>
      <c r="BA164" s="34" t="s">
        <v>934</v>
      </c>
      <c r="BC164" s="22">
        <f>AW164+AX164</f>
        <v>11444.8</v>
      </c>
      <c r="BD164" s="22">
        <f>G164/(100-BE164)*100</f>
        <v>18.399999999999999</v>
      </c>
      <c r="BE164" s="22">
        <v>0</v>
      </c>
      <c r="BF164" s="22">
        <f>L164</f>
        <v>0.21148</v>
      </c>
      <c r="BH164" s="5">
        <f>F164*AO164</f>
        <v>3837.7400000000025</v>
      </c>
      <c r="BI164" s="5">
        <f>F164*AP164</f>
        <v>7607.0599999999968</v>
      </c>
      <c r="BJ164" s="5">
        <f>F164*G164</f>
        <v>11444.8</v>
      </c>
    </row>
    <row r="165" spans="1:62">
      <c r="A165" s="59"/>
      <c r="B165" s="28" t="s">
        <v>658</v>
      </c>
      <c r="C165" s="28" t="s">
        <v>65</v>
      </c>
      <c r="D165" s="28" t="s">
        <v>538</v>
      </c>
      <c r="E165" s="59" t="s">
        <v>6</v>
      </c>
      <c r="F165" s="59" t="s">
        <v>6</v>
      </c>
      <c r="G165" s="59" t="s">
        <v>6</v>
      </c>
      <c r="H165" s="8">
        <f>SUM(H166:H177)</f>
        <v>28583.611625986294</v>
      </c>
      <c r="I165" s="8">
        <f>SUM(I166:I177)</f>
        <v>36776.764374013706</v>
      </c>
      <c r="J165" s="8">
        <f>SUM(J166:J177)</f>
        <v>65360.376000000004</v>
      </c>
      <c r="K165" s="34"/>
      <c r="L165" s="8">
        <f>SUM(L166:L177)</f>
        <v>21.04483475</v>
      </c>
      <c r="M165" s="34"/>
      <c r="AI165" s="34" t="s">
        <v>658</v>
      </c>
      <c r="AS165" s="8">
        <f>SUM(AJ166:AJ177)</f>
        <v>0</v>
      </c>
      <c r="AT165" s="8">
        <f>SUM(AK166:AK177)</f>
        <v>0</v>
      </c>
      <c r="AU165" s="8">
        <f>SUM(AL166:AL177)</f>
        <v>65360.376000000004</v>
      </c>
    </row>
    <row r="166" spans="1:62">
      <c r="A166" s="1" t="s">
        <v>118</v>
      </c>
      <c r="B166" s="1" t="s">
        <v>658</v>
      </c>
      <c r="C166" s="1" t="s">
        <v>334</v>
      </c>
      <c r="D166" s="1" t="s">
        <v>539</v>
      </c>
      <c r="E166" s="1" t="s">
        <v>636</v>
      </c>
      <c r="F166" s="5">
        <f>'Rozpočet - vybrané sloupce'!AN143</f>
        <v>19.25</v>
      </c>
      <c r="G166" s="5">
        <f>'Rozpočet - vybrané sloupce'!AS143</f>
        <v>268</v>
      </c>
      <c r="H166" s="5">
        <f>F166*AO166</f>
        <v>753.25249999999926</v>
      </c>
      <c r="I166" s="5">
        <f>F166*AP166</f>
        <v>4405.7475000000004</v>
      </c>
      <c r="J166" s="5">
        <f>F166*G166</f>
        <v>5159</v>
      </c>
      <c r="K166" s="5">
        <v>7.3899999999999993E-2</v>
      </c>
      <c r="L166" s="5">
        <f>F166*K166</f>
        <v>1.4225749999999999</v>
      </c>
      <c r="M166" s="38" t="s">
        <v>653</v>
      </c>
      <c r="Z166" s="22">
        <f>IF(AQ166="5",BJ166,0)</f>
        <v>0</v>
      </c>
      <c r="AB166" s="22">
        <f>IF(AQ166="1",BH166,0)</f>
        <v>753.25249999999926</v>
      </c>
      <c r="AC166" s="22">
        <f>IF(AQ166="1",BI166,0)</f>
        <v>4405.7475000000004</v>
      </c>
      <c r="AD166" s="22">
        <f>IF(AQ166="7",BH166,0)</f>
        <v>0</v>
      </c>
      <c r="AE166" s="22">
        <f>IF(AQ166="7",BI166,0)</f>
        <v>0</v>
      </c>
      <c r="AF166" s="22">
        <f>IF(AQ166="2",BH166,0)</f>
        <v>0</v>
      </c>
      <c r="AG166" s="22">
        <f>IF(AQ166="2",BI166,0)</f>
        <v>0</v>
      </c>
      <c r="AH166" s="22">
        <f>IF(AQ166="0",BJ166,0)</f>
        <v>0</v>
      </c>
      <c r="AI166" s="34" t="s">
        <v>658</v>
      </c>
      <c r="AJ166" s="5">
        <f>IF(AN166=0,J166,0)</f>
        <v>0</v>
      </c>
      <c r="AK166" s="5">
        <f>IF(AN166=15,J166,0)</f>
        <v>0</v>
      </c>
      <c r="AL166" s="5">
        <f>IF(AN166=21,J166,0)</f>
        <v>5159</v>
      </c>
      <c r="AN166" s="22">
        <v>21</v>
      </c>
      <c r="AO166" s="22">
        <f>G166*0.146007462686567</f>
        <v>39.12999999999996</v>
      </c>
      <c r="AP166" s="22">
        <f>G166*(1-0.146007462686567)</f>
        <v>228.87000000000003</v>
      </c>
      <c r="AQ166" s="38" t="s">
        <v>7</v>
      </c>
      <c r="AV166" s="22">
        <f>AW166+AX166</f>
        <v>5159</v>
      </c>
      <c r="AW166" s="22">
        <f>F166*AO166</f>
        <v>753.25249999999926</v>
      </c>
      <c r="AX166" s="22">
        <f>F166*AP166</f>
        <v>4405.7475000000004</v>
      </c>
      <c r="AY166" s="77" t="s">
        <v>905</v>
      </c>
      <c r="AZ166" s="77" t="s">
        <v>924</v>
      </c>
      <c r="BA166" s="34" t="s">
        <v>934</v>
      </c>
      <c r="BC166" s="22">
        <f>AW166+AX166</f>
        <v>5159</v>
      </c>
      <c r="BD166" s="22">
        <f>G166/(100-BE166)*100</f>
        <v>268</v>
      </c>
      <c r="BE166" s="22">
        <v>0</v>
      </c>
      <c r="BF166" s="22">
        <f>L166</f>
        <v>1.4225749999999999</v>
      </c>
      <c r="BH166" s="5">
        <f>F166*AO166</f>
        <v>753.25249999999926</v>
      </c>
      <c r="BI166" s="5">
        <f>F166*AP166</f>
        <v>4405.7475000000004</v>
      </c>
      <c r="BJ166" s="5">
        <f>F166*G166</f>
        <v>5159</v>
      </c>
    </row>
    <row r="167" spans="1:62" ht="25.7" customHeight="1">
      <c r="C167" s="67" t="s">
        <v>672</v>
      </c>
      <c r="D167" s="167" t="s">
        <v>759</v>
      </c>
      <c r="E167" s="168"/>
      <c r="F167" s="168"/>
      <c r="G167" s="168"/>
      <c r="H167" s="168"/>
      <c r="I167" s="168"/>
      <c r="J167" s="168"/>
      <c r="K167" s="168"/>
      <c r="L167" s="168"/>
      <c r="M167" s="168"/>
    </row>
    <row r="168" spans="1:62">
      <c r="A168" s="1" t="s">
        <v>119</v>
      </c>
      <c r="B168" s="1" t="s">
        <v>658</v>
      </c>
      <c r="C168" s="1" t="s">
        <v>335</v>
      </c>
      <c r="D168" s="1" t="s">
        <v>540</v>
      </c>
      <c r="E168" s="1" t="s">
        <v>635</v>
      </c>
      <c r="F168" s="5">
        <f>'Rozpočet - vybrané sloupce'!AN144</f>
        <v>5.3</v>
      </c>
      <c r="G168" s="5">
        <f>'Rozpočet - vybrané sloupce'!AS144</f>
        <v>1682</v>
      </c>
      <c r="H168" s="5">
        <f>F168*AO168</f>
        <v>5322.7900000000018</v>
      </c>
      <c r="I168" s="5">
        <f>F168*AP168</f>
        <v>3591.8099999999977</v>
      </c>
      <c r="J168" s="5">
        <f>F168*G168</f>
        <v>8914.6</v>
      </c>
      <c r="K168" s="5">
        <v>0.54</v>
      </c>
      <c r="L168" s="5">
        <f>F168*K168</f>
        <v>2.8620000000000001</v>
      </c>
      <c r="M168" s="38" t="s">
        <v>655</v>
      </c>
      <c r="Z168" s="22">
        <f>IF(AQ168="5",BJ168,0)</f>
        <v>0</v>
      </c>
      <c r="AB168" s="22">
        <f>IF(AQ168="1",BH168,0)</f>
        <v>5322.7900000000018</v>
      </c>
      <c r="AC168" s="22">
        <f>IF(AQ168="1",BI168,0)</f>
        <v>3591.8099999999977</v>
      </c>
      <c r="AD168" s="22">
        <f>IF(AQ168="7",BH168,0)</f>
        <v>0</v>
      </c>
      <c r="AE168" s="22">
        <f>IF(AQ168="7",BI168,0)</f>
        <v>0</v>
      </c>
      <c r="AF168" s="22">
        <f>IF(AQ168="2",BH168,0)</f>
        <v>0</v>
      </c>
      <c r="AG168" s="22">
        <f>IF(AQ168="2",BI168,0)</f>
        <v>0</v>
      </c>
      <c r="AH168" s="22">
        <f>IF(AQ168="0",BJ168,0)</f>
        <v>0</v>
      </c>
      <c r="AI168" s="34" t="s">
        <v>658</v>
      </c>
      <c r="AJ168" s="5">
        <f>IF(AN168=0,J168,0)</f>
        <v>0</v>
      </c>
      <c r="AK168" s="5">
        <f>IF(AN168=15,J168,0)</f>
        <v>0</v>
      </c>
      <c r="AL168" s="5">
        <f>IF(AN168=21,J168,0)</f>
        <v>8914.6</v>
      </c>
      <c r="AN168" s="22">
        <v>21</v>
      </c>
      <c r="AO168" s="22">
        <f>G168*0.597086801426873</f>
        <v>1004.3000000000004</v>
      </c>
      <c r="AP168" s="22">
        <f>G168*(1-0.597086801426873)</f>
        <v>677.69999999999959</v>
      </c>
      <c r="AQ168" s="38" t="s">
        <v>7</v>
      </c>
      <c r="AV168" s="22">
        <f>AW168+AX168</f>
        <v>8914.5999999999985</v>
      </c>
      <c r="AW168" s="22">
        <f>F168*AO168</f>
        <v>5322.7900000000018</v>
      </c>
      <c r="AX168" s="22">
        <f>F168*AP168</f>
        <v>3591.8099999999977</v>
      </c>
      <c r="AY168" s="77" t="s">
        <v>905</v>
      </c>
      <c r="AZ168" s="77" t="s">
        <v>924</v>
      </c>
      <c r="BA168" s="34" t="s">
        <v>934</v>
      </c>
      <c r="BC168" s="22">
        <f>AW168+AX168</f>
        <v>8914.5999999999985</v>
      </c>
      <c r="BD168" s="22">
        <f>G168/(100-BE168)*100</f>
        <v>1682</v>
      </c>
      <c r="BE168" s="22">
        <v>0</v>
      </c>
      <c r="BF168" s="22">
        <f>L168</f>
        <v>2.8620000000000001</v>
      </c>
      <c r="BH168" s="5">
        <f>F168*AO168</f>
        <v>5322.7900000000018</v>
      </c>
      <c r="BI168" s="5">
        <f>F168*AP168</f>
        <v>3591.8099999999977</v>
      </c>
      <c r="BJ168" s="5">
        <f>F168*G168</f>
        <v>8914.6</v>
      </c>
    </row>
    <row r="169" spans="1:62">
      <c r="D169" s="3" t="s">
        <v>541</v>
      </c>
    </row>
    <row r="170" spans="1:62">
      <c r="A170" s="1" t="s">
        <v>120</v>
      </c>
      <c r="B170" s="1" t="s">
        <v>658</v>
      </c>
      <c r="C170" s="1" t="s">
        <v>334</v>
      </c>
      <c r="D170" s="1" t="s">
        <v>539</v>
      </c>
      <c r="E170" s="1" t="s">
        <v>636</v>
      </c>
      <c r="F170" s="5">
        <f>'Rozpočet - vybrané sloupce'!AN146</f>
        <v>51.25</v>
      </c>
      <c r="G170" s="5">
        <f>'Rozpočet - vybrané sloupce'!AS146</f>
        <v>268</v>
      </c>
      <c r="H170" s="5">
        <f>F170*AO170</f>
        <v>2005.4124999999979</v>
      </c>
      <c r="I170" s="5">
        <f>F170*AP170</f>
        <v>11729.587500000001</v>
      </c>
      <c r="J170" s="5">
        <f>F170*G170</f>
        <v>13735</v>
      </c>
      <c r="K170" s="5">
        <v>7.3899999999999993E-2</v>
      </c>
      <c r="L170" s="5">
        <f>F170*K170</f>
        <v>3.7873749999999995</v>
      </c>
      <c r="M170" s="38" t="s">
        <v>653</v>
      </c>
      <c r="Z170" s="22">
        <f>IF(AQ170="5",BJ170,0)</f>
        <v>0</v>
      </c>
      <c r="AB170" s="22">
        <f>IF(AQ170="1",BH170,0)</f>
        <v>2005.4124999999979</v>
      </c>
      <c r="AC170" s="22">
        <f>IF(AQ170="1",BI170,0)</f>
        <v>11729.587500000001</v>
      </c>
      <c r="AD170" s="22">
        <f>IF(AQ170="7",BH170,0)</f>
        <v>0</v>
      </c>
      <c r="AE170" s="22">
        <f>IF(AQ170="7",BI170,0)</f>
        <v>0</v>
      </c>
      <c r="AF170" s="22">
        <f>IF(AQ170="2",BH170,0)</f>
        <v>0</v>
      </c>
      <c r="AG170" s="22">
        <f>IF(AQ170="2",BI170,0)</f>
        <v>0</v>
      </c>
      <c r="AH170" s="22">
        <f>IF(AQ170="0",BJ170,0)</f>
        <v>0</v>
      </c>
      <c r="AI170" s="34" t="s">
        <v>658</v>
      </c>
      <c r="AJ170" s="5">
        <f>IF(AN170=0,J170,0)</f>
        <v>0</v>
      </c>
      <c r="AK170" s="5">
        <f>IF(AN170=15,J170,0)</f>
        <v>0</v>
      </c>
      <c r="AL170" s="5">
        <f>IF(AN170=21,J170,0)</f>
        <v>13735</v>
      </c>
      <c r="AN170" s="22">
        <v>21</v>
      </c>
      <c r="AO170" s="22">
        <f>G170*0.146007462686567</f>
        <v>39.12999999999996</v>
      </c>
      <c r="AP170" s="22">
        <f>G170*(1-0.146007462686567)</f>
        <v>228.87000000000003</v>
      </c>
      <c r="AQ170" s="38" t="s">
        <v>7</v>
      </c>
      <c r="AV170" s="22">
        <f>AW170+AX170</f>
        <v>13735</v>
      </c>
      <c r="AW170" s="22">
        <f>F170*AO170</f>
        <v>2005.4124999999979</v>
      </c>
      <c r="AX170" s="22">
        <f>F170*AP170</f>
        <v>11729.587500000001</v>
      </c>
      <c r="AY170" s="77" t="s">
        <v>905</v>
      </c>
      <c r="AZ170" s="77" t="s">
        <v>924</v>
      </c>
      <c r="BA170" s="34" t="s">
        <v>934</v>
      </c>
      <c r="BC170" s="22">
        <f>AW170+AX170</f>
        <v>13735</v>
      </c>
      <c r="BD170" s="22">
        <f>G170/(100-BE170)*100</f>
        <v>268</v>
      </c>
      <c r="BE170" s="22">
        <v>0</v>
      </c>
      <c r="BF170" s="22">
        <f>L170</f>
        <v>3.7873749999999995</v>
      </c>
      <c r="BH170" s="5">
        <f>F170*AO170</f>
        <v>2005.4124999999979</v>
      </c>
      <c r="BI170" s="5">
        <f>F170*AP170</f>
        <v>11729.587500000001</v>
      </c>
      <c r="BJ170" s="5">
        <f>F170*G170</f>
        <v>13735</v>
      </c>
    </row>
    <row r="171" spans="1:62" ht="25.7" customHeight="1">
      <c r="C171" s="67" t="s">
        <v>672</v>
      </c>
      <c r="D171" s="167" t="s">
        <v>759</v>
      </c>
      <c r="E171" s="168"/>
      <c r="F171" s="168"/>
      <c r="G171" s="168"/>
      <c r="H171" s="168"/>
      <c r="I171" s="168"/>
      <c r="J171" s="168"/>
      <c r="K171" s="168"/>
      <c r="L171" s="168"/>
      <c r="M171" s="168"/>
    </row>
    <row r="172" spans="1:62">
      <c r="A172" s="2" t="s">
        <v>121</v>
      </c>
      <c r="B172" s="2" t="s">
        <v>658</v>
      </c>
      <c r="C172" s="2" t="s">
        <v>336</v>
      </c>
      <c r="D172" s="2" t="s">
        <v>542</v>
      </c>
      <c r="E172" s="2" t="s">
        <v>636</v>
      </c>
      <c r="F172" s="6">
        <f>'Rozpočet - vybrané sloupce'!AN147</f>
        <v>56.375</v>
      </c>
      <c r="G172" s="6">
        <f>'Rozpočet - vybrané sloupce'!AS147</f>
        <v>324.83999999999997</v>
      </c>
      <c r="H172" s="6">
        <f>F172*AO172</f>
        <v>18312.855</v>
      </c>
      <c r="I172" s="6">
        <f>F172*AP172</f>
        <v>0</v>
      </c>
      <c r="J172" s="6">
        <f>F172*G172</f>
        <v>18312.855</v>
      </c>
      <c r="K172" s="6">
        <v>0.17244999999999999</v>
      </c>
      <c r="L172" s="6">
        <f>F172*K172</f>
        <v>9.7218687499999987</v>
      </c>
      <c r="M172" s="39" t="s">
        <v>653</v>
      </c>
      <c r="Z172" s="22">
        <f>IF(AQ172="5",BJ172,0)</f>
        <v>0</v>
      </c>
      <c r="AB172" s="22">
        <f>IF(AQ172="1",BH172,0)</f>
        <v>18312.855</v>
      </c>
      <c r="AC172" s="22">
        <f>IF(AQ172="1",BI172,0)</f>
        <v>0</v>
      </c>
      <c r="AD172" s="22">
        <f>IF(AQ172="7",BH172,0)</f>
        <v>0</v>
      </c>
      <c r="AE172" s="22">
        <f>IF(AQ172="7",BI172,0)</f>
        <v>0</v>
      </c>
      <c r="AF172" s="22">
        <f>IF(AQ172="2",BH172,0)</f>
        <v>0</v>
      </c>
      <c r="AG172" s="22">
        <f>IF(AQ172="2",BI172,0)</f>
        <v>0</v>
      </c>
      <c r="AH172" s="22">
        <f>IF(AQ172="0",BJ172,0)</f>
        <v>0</v>
      </c>
      <c r="AI172" s="34" t="s">
        <v>658</v>
      </c>
      <c r="AJ172" s="6">
        <f>IF(AN172=0,J172,0)</f>
        <v>0</v>
      </c>
      <c r="AK172" s="6">
        <f>IF(AN172=15,J172,0)</f>
        <v>0</v>
      </c>
      <c r="AL172" s="6">
        <f>IF(AN172=21,J172,0)</f>
        <v>18312.855</v>
      </c>
      <c r="AN172" s="22">
        <v>21</v>
      </c>
      <c r="AO172" s="22">
        <f>G172*1</f>
        <v>324.83999999999997</v>
      </c>
      <c r="AP172" s="22">
        <f>G172*(1-1)</f>
        <v>0</v>
      </c>
      <c r="AQ172" s="39" t="s">
        <v>7</v>
      </c>
      <c r="AV172" s="22">
        <f>AW172+AX172</f>
        <v>18312.855</v>
      </c>
      <c r="AW172" s="22">
        <f>F172*AO172</f>
        <v>18312.855</v>
      </c>
      <c r="AX172" s="22">
        <f>F172*AP172</f>
        <v>0</v>
      </c>
      <c r="AY172" s="77" t="s">
        <v>905</v>
      </c>
      <c r="AZ172" s="77" t="s">
        <v>924</v>
      </c>
      <c r="BA172" s="34" t="s">
        <v>934</v>
      </c>
      <c r="BC172" s="22">
        <f>AW172+AX172</f>
        <v>18312.855</v>
      </c>
      <c r="BD172" s="22">
        <f>G172/(100-BE172)*100</f>
        <v>324.83999999999997</v>
      </c>
      <c r="BE172" s="22">
        <v>0</v>
      </c>
      <c r="BF172" s="22">
        <f>L172</f>
        <v>9.7218687499999987</v>
      </c>
      <c r="BH172" s="6">
        <f>F172*AO172</f>
        <v>18312.855</v>
      </c>
      <c r="BI172" s="6">
        <f>F172*AP172</f>
        <v>0</v>
      </c>
      <c r="BJ172" s="6">
        <f>F172*G172</f>
        <v>18312.855</v>
      </c>
    </row>
    <row r="173" spans="1:62">
      <c r="C173" s="67" t="s">
        <v>672</v>
      </c>
      <c r="D173" s="167" t="s">
        <v>762</v>
      </c>
      <c r="E173" s="168"/>
      <c r="F173" s="168"/>
      <c r="G173" s="168"/>
      <c r="H173" s="168"/>
      <c r="I173" s="168"/>
      <c r="J173" s="168"/>
      <c r="K173" s="168"/>
      <c r="L173" s="168"/>
      <c r="M173" s="168"/>
    </row>
    <row r="174" spans="1:62">
      <c r="A174" s="1" t="s">
        <v>122</v>
      </c>
      <c r="B174" s="1" t="s">
        <v>658</v>
      </c>
      <c r="C174" s="1" t="s">
        <v>337</v>
      </c>
      <c r="D174" s="1" t="s">
        <v>543</v>
      </c>
      <c r="E174" s="1" t="s">
        <v>635</v>
      </c>
      <c r="F174" s="5">
        <f>'Rozpočet - vybrané sloupce'!AN148</f>
        <v>45</v>
      </c>
      <c r="G174" s="5">
        <f>'Rozpočet - vybrané sloupce'!AS148</f>
        <v>241</v>
      </c>
      <c r="H174" s="5">
        <f>F174*AO174</f>
        <v>646.64999999999986</v>
      </c>
      <c r="I174" s="5">
        <f>F174*AP174</f>
        <v>10198.35</v>
      </c>
      <c r="J174" s="5">
        <f>F174*G174</f>
        <v>10845</v>
      </c>
      <c r="K174" s="5">
        <v>3.6000000000000002E-4</v>
      </c>
      <c r="L174" s="5">
        <f>F174*K174</f>
        <v>1.6200000000000003E-2</v>
      </c>
      <c r="M174" s="38" t="s">
        <v>653</v>
      </c>
      <c r="Z174" s="22">
        <f>IF(AQ174="5",BJ174,0)</f>
        <v>0</v>
      </c>
      <c r="AB174" s="22">
        <f>IF(AQ174="1",BH174,0)</f>
        <v>646.64999999999986</v>
      </c>
      <c r="AC174" s="22">
        <f>IF(AQ174="1",BI174,0)</f>
        <v>10198.35</v>
      </c>
      <c r="AD174" s="22">
        <f>IF(AQ174="7",BH174,0)</f>
        <v>0</v>
      </c>
      <c r="AE174" s="22">
        <f>IF(AQ174="7",BI174,0)</f>
        <v>0</v>
      </c>
      <c r="AF174" s="22">
        <f>IF(AQ174="2",BH174,0)</f>
        <v>0</v>
      </c>
      <c r="AG174" s="22">
        <f>IF(AQ174="2",BI174,0)</f>
        <v>0</v>
      </c>
      <c r="AH174" s="22">
        <f>IF(AQ174="0",BJ174,0)</f>
        <v>0</v>
      </c>
      <c r="AI174" s="34" t="s">
        <v>658</v>
      </c>
      <c r="AJ174" s="5">
        <f>IF(AN174=0,J174,0)</f>
        <v>0</v>
      </c>
      <c r="AK174" s="5">
        <f>IF(AN174=15,J174,0)</f>
        <v>0</v>
      </c>
      <c r="AL174" s="5">
        <f>IF(AN174=21,J174,0)</f>
        <v>10845</v>
      </c>
      <c r="AN174" s="22">
        <v>21</v>
      </c>
      <c r="AO174" s="22">
        <f>G174*0.0596265560165975</f>
        <v>14.369999999999997</v>
      </c>
      <c r="AP174" s="22">
        <f>G174*(1-0.0596265560165975)</f>
        <v>226.63</v>
      </c>
      <c r="AQ174" s="38" t="s">
        <v>7</v>
      </c>
      <c r="AV174" s="22">
        <f>AW174+AX174</f>
        <v>10845</v>
      </c>
      <c r="AW174" s="22">
        <f>F174*AO174</f>
        <v>646.64999999999986</v>
      </c>
      <c r="AX174" s="22">
        <f>F174*AP174</f>
        <v>10198.35</v>
      </c>
      <c r="AY174" s="77" t="s">
        <v>905</v>
      </c>
      <c r="AZ174" s="77" t="s">
        <v>924</v>
      </c>
      <c r="BA174" s="34" t="s">
        <v>934</v>
      </c>
      <c r="BC174" s="22">
        <f>AW174+AX174</f>
        <v>10845</v>
      </c>
      <c r="BD174" s="22">
        <f>G174/(100-BE174)*100</f>
        <v>241</v>
      </c>
      <c r="BE174" s="22">
        <v>0</v>
      </c>
      <c r="BF174" s="22">
        <f>L174</f>
        <v>1.6200000000000003E-2</v>
      </c>
      <c r="BH174" s="5">
        <f>F174*AO174</f>
        <v>646.64999999999986</v>
      </c>
      <c r="BI174" s="5">
        <f>F174*AP174</f>
        <v>10198.35</v>
      </c>
      <c r="BJ174" s="5">
        <f>F174*G174</f>
        <v>10845</v>
      </c>
    </row>
    <row r="175" spans="1:62">
      <c r="A175" s="1" t="s">
        <v>123</v>
      </c>
      <c r="B175" s="1" t="s">
        <v>658</v>
      </c>
      <c r="C175" s="1" t="s">
        <v>338</v>
      </c>
      <c r="D175" s="1" t="s">
        <v>544</v>
      </c>
      <c r="E175" s="1" t="s">
        <v>636</v>
      </c>
      <c r="F175" s="5">
        <f>'Rozpočet - vybrané sloupce'!AN149</f>
        <v>2.1</v>
      </c>
      <c r="G175" s="5">
        <f>'Rozpočet - vybrané sloupce'!AS149</f>
        <v>435.01</v>
      </c>
      <c r="H175" s="5">
        <f>F175*AO175</f>
        <v>571.85162598629438</v>
      </c>
      <c r="I175" s="5">
        <f>F175*AP175</f>
        <v>341.66937401370564</v>
      </c>
      <c r="J175" s="5">
        <f>F175*G175</f>
        <v>913.52100000000007</v>
      </c>
      <c r="K175" s="5">
        <v>0.16896</v>
      </c>
      <c r="L175" s="5">
        <f>F175*K175</f>
        <v>0.35481600000000002</v>
      </c>
      <c r="M175" s="38" t="s">
        <v>653</v>
      </c>
      <c r="Z175" s="22">
        <f>IF(AQ175="5",BJ175,0)</f>
        <v>0</v>
      </c>
      <c r="AB175" s="22">
        <f>IF(AQ175="1",BH175,0)</f>
        <v>571.85162598629438</v>
      </c>
      <c r="AC175" s="22">
        <f>IF(AQ175="1",BI175,0)</f>
        <v>341.66937401370564</v>
      </c>
      <c r="AD175" s="22">
        <f>IF(AQ175="7",BH175,0)</f>
        <v>0</v>
      </c>
      <c r="AE175" s="22">
        <f>IF(AQ175="7",BI175,0)</f>
        <v>0</v>
      </c>
      <c r="AF175" s="22">
        <f>IF(AQ175="2",BH175,0)</f>
        <v>0</v>
      </c>
      <c r="AG175" s="22">
        <f>IF(AQ175="2",BI175,0)</f>
        <v>0</v>
      </c>
      <c r="AH175" s="22">
        <f>IF(AQ175="0",BJ175,0)</f>
        <v>0</v>
      </c>
      <c r="AI175" s="34" t="s">
        <v>658</v>
      </c>
      <c r="AJ175" s="5">
        <f>IF(AN175=0,J175,0)</f>
        <v>0</v>
      </c>
      <c r="AK175" s="5">
        <f>IF(AN175=15,J175,0)</f>
        <v>0</v>
      </c>
      <c r="AL175" s="5">
        <f>IF(AN175=21,J175,0)</f>
        <v>913.52100000000007</v>
      </c>
      <c r="AN175" s="22">
        <v>21</v>
      </c>
      <c r="AO175" s="22">
        <f>G175*0.625986294771871</f>
        <v>272.31029808871159</v>
      </c>
      <c r="AP175" s="22">
        <f>G175*(1-0.625986294771871)</f>
        <v>162.6997019112884</v>
      </c>
      <c r="AQ175" s="38" t="s">
        <v>7</v>
      </c>
      <c r="AV175" s="22">
        <f>AW175+AX175</f>
        <v>913.52099999999996</v>
      </c>
      <c r="AW175" s="22">
        <f>F175*AO175</f>
        <v>571.85162598629438</v>
      </c>
      <c r="AX175" s="22">
        <f>F175*AP175</f>
        <v>341.66937401370564</v>
      </c>
      <c r="AY175" s="77" t="s">
        <v>905</v>
      </c>
      <c r="AZ175" s="77" t="s">
        <v>924</v>
      </c>
      <c r="BA175" s="34" t="s">
        <v>934</v>
      </c>
      <c r="BC175" s="22">
        <f>AW175+AX175</f>
        <v>913.52099999999996</v>
      </c>
      <c r="BD175" s="22">
        <f>G175/(100-BE175)*100</f>
        <v>435.01000000000005</v>
      </c>
      <c r="BE175" s="22">
        <v>0</v>
      </c>
      <c r="BF175" s="22">
        <f>L175</f>
        <v>0.35481600000000002</v>
      </c>
      <c r="BH175" s="5">
        <f>F175*AO175</f>
        <v>571.85162598629438</v>
      </c>
      <c r="BI175" s="5">
        <f>F175*AP175</f>
        <v>341.66937401370564</v>
      </c>
      <c r="BJ175" s="5">
        <f>F175*G175</f>
        <v>913.52100000000007</v>
      </c>
    </row>
    <row r="176" spans="1:62">
      <c r="D176" s="3" t="s">
        <v>545</v>
      </c>
    </row>
    <row r="177" spans="1:62">
      <c r="A177" s="1" t="s">
        <v>124</v>
      </c>
      <c r="B177" s="1" t="s">
        <v>658</v>
      </c>
      <c r="C177" s="1" t="s">
        <v>339</v>
      </c>
      <c r="D177" s="1" t="s">
        <v>544</v>
      </c>
      <c r="E177" s="1" t="s">
        <v>636</v>
      </c>
      <c r="F177" s="5">
        <f>'Rozpočet - vybrané sloupce'!AN151</f>
        <v>40</v>
      </c>
      <c r="G177" s="5">
        <f>'Rozpočet - vybrané sloupce'!AS151</f>
        <v>187.01</v>
      </c>
      <c r="H177" s="5">
        <f>F177*AO177</f>
        <v>970.80000000000086</v>
      </c>
      <c r="I177" s="5">
        <f>F177*AP177</f>
        <v>6509.5999999999995</v>
      </c>
      <c r="J177" s="5">
        <f>F177*G177</f>
        <v>7480.4</v>
      </c>
      <c r="K177" s="5">
        <v>7.1999999999999995E-2</v>
      </c>
      <c r="L177" s="5">
        <f>F177*K177</f>
        <v>2.88</v>
      </c>
      <c r="M177" s="38" t="s">
        <v>653</v>
      </c>
      <c r="Z177" s="22">
        <f>IF(AQ177="5",BJ177,0)</f>
        <v>0</v>
      </c>
      <c r="AB177" s="22">
        <f>IF(AQ177="1",BH177,0)</f>
        <v>970.80000000000086</v>
      </c>
      <c r="AC177" s="22">
        <f>IF(AQ177="1",BI177,0)</f>
        <v>6509.5999999999995</v>
      </c>
      <c r="AD177" s="22">
        <f>IF(AQ177="7",BH177,0)</f>
        <v>0</v>
      </c>
      <c r="AE177" s="22">
        <f>IF(AQ177="7",BI177,0)</f>
        <v>0</v>
      </c>
      <c r="AF177" s="22">
        <f>IF(AQ177="2",BH177,0)</f>
        <v>0</v>
      </c>
      <c r="AG177" s="22">
        <f>IF(AQ177="2",BI177,0)</f>
        <v>0</v>
      </c>
      <c r="AH177" s="22">
        <f>IF(AQ177="0",BJ177,0)</f>
        <v>0</v>
      </c>
      <c r="AI177" s="34" t="s">
        <v>658</v>
      </c>
      <c r="AJ177" s="5">
        <f>IF(AN177=0,J177,0)</f>
        <v>0</v>
      </c>
      <c r="AK177" s="5">
        <f>IF(AN177=15,J177,0)</f>
        <v>0</v>
      </c>
      <c r="AL177" s="5">
        <f>IF(AN177=21,J177,0)</f>
        <v>7480.4</v>
      </c>
      <c r="AN177" s="22">
        <v>21</v>
      </c>
      <c r="AO177" s="22">
        <f>G177*0.129779156194856</f>
        <v>24.270000000000021</v>
      </c>
      <c r="AP177" s="22">
        <f>G177*(1-0.129779156194856)</f>
        <v>162.73999999999998</v>
      </c>
      <c r="AQ177" s="38" t="s">
        <v>7</v>
      </c>
      <c r="AV177" s="22">
        <f>AW177+AX177</f>
        <v>7480.4000000000005</v>
      </c>
      <c r="AW177" s="22">
        <f>F177*AO177</f>
        <v>970.80000000000086</v>
      </c>
      <c r="AX177" s="22">
        <f>F177*AP177</f>
        <v>6509.5999999999995</v>
      </c>
      <c r="AY177" s="77" t="s">
        <v>905</v>
      </c>
      <c r="AZ177" s="77" t="s">
        <v>924</v>
      </c>
      <c r="BA177" s="34" t="s">
        <v>934</v>
      </c>
      <c r="BC177" s="22">
        <f>AW177+AX177</f>
        <v>7480.4000000000005</v>
      </c>
      <c r="BD177" s="22">
        <f>G177/(100-BE177)*100</f>
        <v>187.01</v>
      </c>
      <c r="BE177" s="22">
        <v>0</v>
      </c>
      <c r="BF177" s="22">
        <f>L177</f>
        <v>2.88</v>
      </c>
      <c r="BH177" s="5">
        <f>F177*AO177</f>
        <v>970.80000000000086</v>
      </c>
      <c r="BI177" s="5">
        <f>F177*AP177</f>
        <v>6509.5999999999995</v>
      </c>
      <c r="BJ177" s="5">
        <f>F177*G177</f>
        <v>7480.4</v>
      </c>
    </row>
    <row r="178" spans="1:62" ht="25.7" customHeight="1">
      <c r="C178" s="67" t="s">
        <v>672</v>
      </c>
      <c r="D178" s="167" t="s">
        <v>763</v>
      </c>
      <c r="E178" s="168"/>
      <c r="F178" s="168"/>
      <c r="G178" s="168"/>
      <c r="H178" s="168"/>
      <c r="I178" s="168"/>
      <c r="J178" s="168"/>
      <c r="K178" s="168"/>
      <c r="L178" s="168"/>
      <c r="M178" s="168"/>
    </row>
    <row r="179" spans="1:62">
      <c r="C179" s="66" t="s">
        <v>660</v>
      </c>
      <c r="D179" s="175" t="s">
        <v>764</v>
      </c>
      <c r="E179" s="176"/>
      <c r="F179" s="176"/>
      <c r="G179" s="176"/>
      <c r="H179" s="176"/>
      <c r="I179" s="176"/>
      <c r="J179" s="176"/>
      <c r="K179" s="176"/>
      <c r="L179" s="176"/>
      <c r="M179" s="176"/>
    </row>
    <row r="180" spans="1:62">
      <c r="A180" s="59"/>
      <c r="B180" s="28" t="s">
        <v>658</v>
      </c>
      <c r="C180" s="28" t="s">
        <v>69</v>
      </c>
      <c r="D180" s="28" t="s">
        <v>546</v>
      </c>
      <c r="E180" s="59" t="s">
        <v>6</v>
      </c>
      <c r="F180" s="59" t="s">
        <v>6</v>
      </c>
      <c r="G180" s="59" t="s">
        <v>6</v>
      </c>
      <c r="H180" s="8">
        <f>SUM(H181:H181)</f>
        <v>1608.6960000000001</v>
      </c>
      <c r="I180" s="8">
        <f>SUM(I181:I181)</f>
        <v>479.30399999999997</v>
      </c>
      <c r="J180" s="8">
        <f>SUM(J181:J181)</f>
        <v>2088</v>
      </c>
      <c r="K180" s="34"/>
      <c r="L180" s="8">
        <f>SUM(L181:L181)</f>
        <v>1.1520000000000001</v>
      </c>
      <c r="M180" s="34"/>
      <c r="AI180" s="34" t="s">
        <v>658</v>
      </c>
      <c r="AS180" s="8">
        <f>SUM(AJ181:AJ181)</f>
        <v>0</v>
      </c>
      <c r="AT180" s="8">
        <f>SUM(AK181:AK181)</f>
        <v>0</v>
      </c>
      <c r="AU180" s="8">
        <f>SUM(AL181:AL181)</f>
        <v>2088</v>
      </c>
    </row>
    <row r="181" spans="1:62">
      <c r="A181" s="1" t="s">
        <v>125</v>
      </c>
      <c r="B181" s="1" t="s">
        <v>658</v>
      </c>
      <c r="C181" s="1" t="s">
        <v>340</v>
      </c>
      <c r="D181" s="1" t="s">
        <v>547</v>
      </c>
      <c r="E181" s="1" t="s">
        <v>636</v>
      </c>
      <c r="F181" s="5">
        <f>'Rozpočet - vybrané sloupce'!AN153</f>
        <v>7.2</v>
      </c>
      <c r="G181" s="5">
        <f>'Rozpočet - vybrané sloupce'!AS153</f>
        <v>290</v>
      </c>
      <c r="H181" s="5">
        <f>F181*AO181</f>
        <v>1608.6960000000001</v>
      </c>
      <c r="I181" s="5">
        <f>F181*AP181</f>
        <v>479.30399999999997</v>
      </c>
      <c r="J181" s="5">
        <f>F181*G181</f>
        <v>2088</v>
      </c>
      <c r="K181" s="5">
        <v>0.16</v>
      </c>
      <c r="L181" s="5">
        <f>F181*K181</f>
        <v>1.1520000000000001</v>
      </c>
      <c r="M181" s="38" t="s">
        <v>653</v>
      </c>
      <c r="Z181" s="22">
        <f>IF(AQ181="5",BJ181,0)</f>
        <v>0</v>
      </c>
      <c r="AB181" s="22">
        <f>IF(AQ181="1",BH181,0)</f>
        <v>1608.6960000000001</v>
      </c>
      <c r="AC181" s="22">
        <f>IF(AQ181="1",BI181,0)</f>
        <v>479.30399999999997</v>
      </c>
      <c r="AD181" s="22">
        <f>IF(AQ181="7",BH181,0)</f>
        <v>0</v>
      </c>
      <c r="AE181" s="22">
        <f>IF(AQ181="7",BI181,0)</f>
        <v>0</v>
      </c>
      <c r="AF181" s="22">
        <f>IF(AQ181="2",BH181,0)</f>
        <v>0</v>
      </c>
      <c r="AG181" s="22">
        <f>IF(AQ181="2",BI181,0)</f>
        <v>0</v>
      </c>
      <c r="AH181" s="22">
        <f>IF(AQ181="0",BJ181,0)</f>
        <v>0</v>
      </c>
      <c r="AI181" s="34" t="s">
        <v>658</v>
      </c>
      <c r="AJ181" s="5">
        <f>IF(AN181=0,J181,0)</f>
        <v>0</v>
      </c>
      <c r="AK181" s="5">
        <f>IF(AN181=15,J181,0)</f>
        <v>0</v>
      </c>
      <c r="AL181" s="5">
        <f>IF(AN181=21,J181,0)</f>
        <v>2088</v>
      </c>
      <c r="AN181" s="22">
        <v>21</v>
      </c>
      <c r="AO181" s="22">
        <f>G181*0.770448275862069</f>
        <v>223.43</v>
      </c>
      <c r="AP181" s="22">
        <f>G181*(1-0.770448275862069)</f>
        <v>66.569999999999993</v>
      </c>
      <c r="AQ181" s="38" t="s">
        <v>7</v>
      </c>
      <c r="AV181" s="22">
        <f>AW181+AX181</f>
        <v>2088</v>
      </c>
      <c r="AW181" s="22">
        <f>F181*AO181</f>
        <v>1608.6960000000001</v>
      </c>
      <c r="AX181" s="22">
        <f>F181*AP181</f>
        <v>479.30399999999997</v>
      </c>
      <c r="AY181" s="77" t="s">
        <v>906</v>
      </c>
      <c r="AZ181" s="77" t="s">
        <v>925</v>
      </c>
      <c r="BA181" s="34" t="s">
        <v>934</v>
      </c>
      <c r="BC181" s="22">
        <f>AW181+AX181</f>
        <v>2088</v>
      </c>
      <c r="BD181" s="22">
        <f>G181/(100-BE181)*100</f>
        <v>290</v>
      </c>
      <c r="BE181" s="22">
        <v>0</v>
      </c>
      <c r="BF181" s="22">
        <f>L181</f>
        <v>1.1520000000000001</v>
      </c>
      <c r="BH181" s="5">
        <f>F181*AO181</f>
        <v>1608.6960000000001</v>
      </c>
      <c r="BI181" s="5">
        <f>F181*AP181</f>
        <v>479.30399999999997</v>
      </c>
      <c r="BJ181" s="5">
        <f>F181*G181</f>
        <v>2088</v>
      </c>
    </row>
    <row r="182" spans="1:62">
      <c r="C182" s="67" t="s">
        <v>672</v>
      </c>
      <c r="D182" s="167" t="s">
        <v>765</v>
      </c>
      <c r="E182" s="168"/>
      <c r="F182" s="168"/>
      <c r="G182" s="168"/>
      <c r="H182" s="168"/>
      <c r="I182" s="168"/>
      <c r="J182" s="168"/>
      <c r="K182" s="168"/>
      <c r="L182" s="168"/>
      <c r="M182" s="168"/>
    </row>
    <row r="183" spans="1:62">
      <c r="A183" s="59"/>
      <c r="B183" s="28" t="s">
        <v>658</v>
      </c>
      <c r="C183" s="28" t="s">
        <v>341</v>
      </c>
      <c r="D183" s="28" t="s">
        <v>548</v>
      </c>
      <c r="E183" s="59" t="s">
        <v>6</v>
      </c>
      <c r="F183" s="59" t="s">
        <v>6</v>
      </c>
      <c r="G183" s="59" t="s">
        <v>6</v>
      </c>
      <c r="H183" s="8">
        <f>SUM(H184:H189)</f>
        <v>8832.2284043074378</v>
      </c>
      <c r="I183" s="8">
        <f>SUM(I184:I189)</f>
        <v>11295.112865692561</v>
      </c>
      <c r="J183" s="8">
        <f>SUM(J184:J189)</f>
        <v>20127.341270000001</v>
      </c>
      <c r="K183" s="34"/>
      <c r="L183" s="8">
        <f>SUM(L184:L189)</f>
        <v>2.7033649999999998</v>
      </c>
      <c r="M183" s="34"/>
      <c r="AI183" s="34" t="s">
        <v>658</v>
      </c>
      <c r="AS183" s="8">
        <f>SUM(AJ184:AJ189)</f>
        <v>0</v>
      </c>
      <c r="AT183" s="8">
        <f>SUM(AK184:AK189)</f>
        <v>0</v>
      </c>
      <c r="AU183" s="8">
        <f>SUM(AL184:AL189)</f>
        <v>20127.341270000001</v>
      </c>
    </row>
    <row r="184" spans="1:62">
      <c r="A184" s="1" t="s">
        <v>126</v>
      </c>
      <c r="B184" s="1" t="s">
        <v>658</v>
      </c>
      <c r="C184" s="1" t="s">
        <v>342</v>
      </c>
      <c r="D184" s="1" t="s">
        <v>549</v>
      </c>
      <c r="E184" s="1" t="s">
        <v>637</v>
      </c>
      <c r="F184" s="5">
        <f>'Rozpočet - vybrané sloupce'!AN155</f>
        <v>1</v>
      </c>
      <c r="G184" s="5">
        <f>'Rozpočet - vybrané sloupce'!AS155</f>
        <v>985</v>
      </c>
      <c r="H184" s="5">
        <f>F184*AO184</f>
        <v>388.22999999999956</v>
      </c>
      <c r="I184" s="5">
        <f>F184*AP184</f>
        <v>596.77000000000044</v>
      </c>
      <c r="J184" s="5">
        <f>F184*G184</f>
        <v>985</v>
      </c>
      <c r="K184" s="5">
        <v>2.0999999999999999E-3</v>
      </c>
      <c r="L184" s="5">
        <f>F184*K184</f>
        <v>2.0999999999999999E-3</v>
      </c>
      <c r="M184" s="38"/>
      <c r="Z184" s="22">
        <f>IF(AQ184="5",BJ184,0)</f>
        <v>0</v>
      </c>
      <c r="AB184" s="22">
        <f>IF(AQ184="1",BH184,0)</f>
        <v>0</v>
      </c>
      <c r="AC184" s="22">
        <f>IF(AQ184="1",BI184,0)</f>
        <v>0</v>
      </c>
      <c r="AD184" s="22">
        <f>IF(AQ184="7",BH184,0)</f>
        <v>388.22999999999956</v>
      </c>
      <c r="AE184" s="22">
        <f>IF(AQ184="7",BI184,0)</f>
        <v>596.77000000000044</v>
      </c>
      <c r="AF184" s="22">
        <f>IF(AQ184="2",BH184,0)</f>
        <v>0</v>
      </c>
      <c r="AG184" s="22">
        <f>IF(AQ184="2",BI184,0)</f>
        <v>0</v>
      </c>
      <c r="AH184" s="22">
        <f>IF(AQ184="0",BJ184,0)</f>
        <v>0</v>
      </c>
      <c r="AI184" s="34" t="s">
        <v>658</v>
      </c>
      <c r="AJ184" s="5">
        <f>IF(AN184=0,J184,0)</f>
        <v>0</v>
      </c>
      <c r="AK184" s="5">
        <f>IF(AN184=15,J184,0)</f>
        <v>0</v>
      </c>
      <c r="AL184" s="5">
        <f>IF(AN184=21,J184,0)</f>
        <v>985</v>
      </c>
      <c r="AN184" s="22">
        <v>21</v>
      </c>
      <c r="AO184" s="22">
        <f>G184*0.394142131979695</f>
        <v>388.22999999999956</v>
      </c>
      <c r="AP184" s="22">
        <f>G184*(1-0.394142131979695)</f>
        <v>596.77000000000044</v>
      </c>
      <c r="AQ184" s="38" t="s">
        <v>13</v>
      </c>
      <c r="AV184" s="22">
        <f>AW184+AX184</f>
        <v>985</v>
      </c>
      <c r="AW184" s="22">
        <f>F184*AO184</f>
        <v>388.22999999999956</v>
      </c>
      <c r="AX184" s="22">
        <f>F184*AP184</f>
        <v>596.77000000000044</v>
      </c>
      <c r="AY184" s="77" t="s">
        <v>907</v>
      </c>
      <c r="AZ184" s="77" t="s">
        <v>926</v>
      </c>
      <c r="BA184" s="34" t="s">
        <v>934</v>
      </c>
      <c r="BC184" s="22">
        <f>AW184+AX184</f>
        <v>985</v>
      </c>
      <c r="BD184" s="22">
        <f>G184/(100-BE184)*100</f>
        <v>985</v>
      </c>
      <c r="BE184" s="22">
        <v>0</v>
      </c>
      <c r="BF184" s="22">
        <f>L184</f>
        <v>2.0999999999999999E-3</v>
      </c>
      <c r="BH184" s="5">
        <f>F184*AO184</f>
        <v>388.22999999999956</v>
      </c>
      <c r="BI184" s="5">
        <f>F184*AP184</f>
        <v>596.77000000000044</v>
      </c>
      <c r="BJ184" s="5">
        <f>F184*G184</f>
        <v>985</v>
      </c>
    </row>
    <row r="185" spans="1:62">
      <c r="A185" s="1" t="s">
        <v>127</v>
      </c>
      <c r="B185" s="1" t="s">
        <v>658</v>
      </c>
      <c r="C185" s="1" t="s">
        <v>343</v>
      </c>
      <c r="D185" s="1" t="s">
        <v>550</v>
      </c>
      <c r="E185" s="1" t="s">
        <v>637</v>
      </c>
      <c r="F185" s="5">
        <f>'Rozpočet - vybrané sloupce'!AN156</f>
        <v>2</v>
      </c>
      <c r="G185" s="5">
        <f>'Rozpočet - vybrané sloupce'!AS156</f>
        <v>1677.99</v>
      </c>
      <c r="H185" s="5">
        <f>F185*AO185</f>
        <v>2820.8799999999997</v>
      </c>
      <c r="I185" s="5">
        <f>F185*AP185</f>
        <v>535.10000000000014</v>
      </c>
      <c r="J185" s="5">
        <f>F185*G185</f>
        <v>3355.98</v>
      </c>
      <c r="K185" s="5">
        <v>2.1139999999999999E-2</v>
      </c>
      <c r="L185" s="5">
        <f>F185*K185</f>
        <v>4.2279999999999998E-2</v>
      </c>
      <c r="M185" s="38" t="s">
        <v>653</v>
      </c>
      <c r="Z185" s="22">
        <f>IF(AQ185="5",BJ185,0)</f>
        <v>0</v>
      </c>
      <c r="AB185" s="22">
        <f>IF(AQ185="1",BH185,0)</f>
        <v>0</v>
      </c>
      <c r="AC185" s="22">
        <f>IF(AQ185="1",BI185,0)</f>
        <v>0</v>
      </c>
      <c r="AD185" s="22">
        <f>IF(AQ185="7",BH185,0)</f>
        <v>2820.8799999999997</v>
      </c>
      <c r="AE185" s="22">
        <f>IF(AQ185="7",BI185,0)</f>
        <v>535.10000000000014</v>
      </c>
      <c r="AF185" s="22">
        <f>IF(AQ185="2",BH185,0)</f>
        <v>0</v>
      </c>
      <c r="AG185" s="22">
        <f>IF(AQ185="2",BI185,0)</f>
        <v>0</v>
      </c>
      <c r="AH185" s="22">
        <f>IF(AQ185="0",BJ185,0)</f>
        <v>0</v>
      </c>
      <c r="AI185" s="34" t="s">
        <v>658</v>
      </c>
      <c r="AJ185" s="5">
        <f>IF(AN185=0,J185,0)</f>
        <v>0</v>
      </c>
      <c r="AK185" s="5">
        <f>IF(AN185=15,J185,0)</f>
        <v>0</v>
      </c>
      <c r="AL185" s="5">
        <f>IF(AN185=21,J185,0)</f>
        <v>3355.98</v>
      </c>
      <c r="AN185" s="22">
        <v>21</v>
      </c>
      <c r="AO185" s="22">
        <f>G185*0.840553281008826</f>
        <v>1410.4399999999998</v>
      </c>
      <c r="AP185" s="22">
        <f>G185*(1-0.840553281008826)</f>
        <v>267.55000000000007</v>
      </c>
      <c r="AQ185" s="38" t="s">
        <v>13</v>
      </c>
      <c r="AV185" s="22">
        <f>AW185+AX185</f>
        <v>3355.9799999999996</v>
      </c>
      <c r="AW185" s="22">
        <f>F185*AO185</f>
        <v>2820.8799999999997</v>
      </c>
      <c r="AX185" s="22">
        <f>F185*AP185</f>
        <v>535.10000000000014</v>
      </c>
      <c r="AY185" s="77" t="s">
        <v>907</v>
      </c>
      <c r="AZ185" s="77" t="s">
        <v>926</v>
      </c>
      <c r="BA185" s="34" t="s">
        <v>934</v>
      </c>
      <c r="BC185" s="22">
        <f>AW185+AX185</f>
        <v>3355.9799999999996</v>
      </c>
      <c r="BD185" s="22">
        <f>G185/(100-BE185)*100</f>
        <v>1677.9900000000002</v>
      </c>
      <c r="BE185" s="22">
        <v>0</v>
      </c>
      <c r="BF185" s="22">
        <f>L185</f>
        <v>4.2279999999999998E-2</v>
      </c>
      <c r="BH185" s="5">
        <f>F185*AO185</f>
        <v>2820.8799999999997</v>
      </c>
      <c r="BI185" s="5">
        <f>F185*AP185</f>
        <v>535.10000000000014</v>
      </c>
      <c r="BJ185" s="5">
        <f>F185*G185</f>
        <v>3355.98</v>
      </c>
    </row>
    <row r="186" spans="1:62">
      <c r="A186" s="1" t="s">
        <v>128</v>
      </c>
      <c r="B186" s="1" t="s">
        <v>658</v>
      </c>
      <c r="C186" s="1" t="s">
        <v>344</v>
      </c>
      <c r="D186" s="1" t="s">
        <v>551</v>
      </c>
      <c r="E186" s="1" t="s">
        <v>635</v>
      </c>
      <c r="F186" s="5">
        <f>'Rozpočet - vybrané sloupce'!AN157</f>
        <v>12.25</v>
      </c>
      <c r="G186" s="5">
        <f>'Rozpočet - vybrané sloupce'!AS157</f>
        <v>1269.01</v>
      </c>
      <c r="H186" s="5">
        <f>F186*AO186</f>
        <v>5623.1184043074391</v>
      </c>
      <c r="I186" s="5">
        <f>F186*AP186</f>
        <v>9922.2540956925604</v>
      </c>
      <c r="J186" s="5">
        <f>F186*G186</f>
        <v>15545.372499999999</v>
      </c>
      <c r="K186" s="5">
        <v>0.21706</v>
      </c>
      <c r="L186" s="5">
        <f>F186*K186</f>
        <v>2.6589849999999999</v>
      </c>
      <c r="M186" s="38" t="s">
        <v>653</v>
      </c>
      <c r="Z186" s="22">
        <f>IF(AQ186="5",BJ186,0)</f>
        <v>0</v>
      </c>
      <c r="AB186" s="22">
        <f>IF(AQ186="1",BH186,0)</f>
        <v>0</v>
      </c>
      <c r="AC186" s="22">
        <f>IF(AQ186="1",BI186,0)</f>
        <v>0</v>
      </c>
      <c r="AD186" s="22">
        <f>IF(AQ186="7",BH186,0)</f>
        <v>5623.1184043074391</v>
      </c>
      <c r="AE186" s="22">
        <f>IF(AQ186="7",BI186,0)</f>
        <v>9922.2540956925604</v>
      </c>
      <c r="AF186" s="22">
        <f>IF(AQ186="2",BH186,0)</f>
        <v>0</v>
      </c>
      <c r="AG186" s="22">
        <f>IF(AQ186="2",BI186,0)</f>
        <v>0</v>
      </c>
      <c r="AH186" s="22">
        <f>IF(AQ186="0",BJ186,0)</f>
        <v>0</v>
      </c>
      <c r="AI186" s="34" t="s">
        <v>658</v>
      </c>
      <c r="AJ186" s="5">
        <f>IF(AN186=0,J186,0)</f>
        <v>0</v>
      </c>
      <c r="AK186" s="5">
        <f>IF(AN186=15,J186,0)</f>
        <v>0</v>
      </c>
      <c r="AL186" s="5">
        <f>IF(AN186=21,J186,0)</f>
        <v>15545.372499999999</v>
      </c>
      <c r="AN186" s="22">
        <v>21</v>
      </c>
      <c r="AO186" s="22">
        <f>G186*0.361722976037238</f>
        <v>459.03007382101543</v>
      </c>
      <c r="AP186" s="22">
        <f>G186*(1-0.361722976037238)</f>
        <v>809.97992617898456</v>
      </c>
      <c r="AQ186" s="38" t="s">
        <v>13</v>
      </c>
      <c r="AV186" s="22">
        <f>AW186+AX186</f>
        <v>15545.372499999999</v>
      </c>
      <c r="AW186" s="22">
        <f>F186*AO186</f>
        <v>5623.1184043074391</v>
      </c>
      <c r="AX186" s="22">
        <f>F186*AP186</f>
        <v>9922.2540956925604</v>
      </c>
      <c r="AY186" s="77" t="s">
        <v>907</v>
      </c>
      <c r="AZ186" s="77" t="s">
        <v>926</v>
      </c>
      <c r="BA186" s="34" t="s">
        <v>934</v>
      </c>
      <c r="BC186" s="22">
        <f>AW186+AX186</f>
        <v>15545.372499999999</v>
      </c>
      <c r="BD186" s="22">
        <f>G186/(100-BE186)*100</f>
        <v>1269.01</v>
      </c>
      <c r="BE186" s="22">
        <v>0</v>
      </c>
      <c r="BF186" s="22">
        <f>L186</f>
        <v>2.6589849999999999</v>
      </c>
      <c r="BH186" s="5">
        <f>F186*AO186</f>
        <v>5623.1184043074391</v>
      </c>
      <c r="BI186" s="5">
        <f>F186*AP186</f>
        <v>9922.2540956925604</v>
      </c>
      <c r="BJ186" s="5">
        <f>F186*G186</f>
        <v>15545.372499999999</v>
      </c>
    </row>
    <row r="187" spans="1:62">
      <c r="D187" s="3" t="s">
        <v>552</v>
      </c>
    </row>
    <row r="188" spans="1:62">
      <c r="C188" s="67" t="s">
        <v>672</v>
      </c>
      <c r="D188" s="167" t="s">
        <v>767</v>
      </c>
      <c r="E188" s="168"/>
      <c r="F188" s="168"/>
      <c r="G188" s="168"/>
      <c r="H188" s="168"/>
      <c r="I188" s="168"/>
      <c r="J188" s="168"/>
      <c r="K188" s="168"/>
      <c r="L188" s="168"/>
      <c r="M188" s="168"/>
    </row>
    <row r="189" spans="1:62">
      <c r="A189" s="1" t="s">
        <v>129</v>
      </c>
      <c r="B189" s="1" t="s">
        <v>658</v>
      </c>
      <c r="C189" s="1" t="s">
        <v>345</v>
      </c>
      <c r="D189" s="1" t="s">
        <v>553</v>
      </c>
      <c r="E189" s="1" t="s">
        <v>643</v>
      </c>
      <c r="F189" s="5">
        <f>'Rozpočet - vybrané sloupce'!AN159</f>
        <v>141.75810000000001</v>
      </c>
      <c r="G189" s="5">
        <f>'Rozpočet - vybrané sloupce'!AS159</f>
        <v>1.7</v>
      </c>
      <c r="H189" s="5">
        <f>F189*AO189</f>
        <v>0</v>
      </c>
      <c r="I189" s="5">
        <f>F189*AP189</f>
        <v>240.98877000000002</v>
      </c>
      <c r="J189" s="5">
        <f>F189*G189</f>
        <v>240.98877000000002</v>
      </c>
      <c r="K189" s="5">
        <v>0</v>
      </c>
      <c r="L189" s="5">
        <f>F189*K189</f>
        <v>0</v>
      </c>
      <c r="M189" s="38" t="s">
        <v>653</v>
      </c>
      <c r="Z189" s="22">
        <f>IF(AQ189="5",BJ189,0)</f>
        <v>240.98877000000002</v>
      </c>
      <c r="AB189" s="22">
        <f>IF(AQ189="1",BH189,0)</f>
        <v>0</v>
      </c>
      <c r="AC189" s="22">
        <f>IF(AQ189="1",BI189,0)</f>
        <v>0</v>
      </c>
      <c r="AD189" s="22">
        <f>IF(AQ189="7",BH189,0)</f>
        <v>0</v>
      </c>
      <c r="AE189" s="22">
        <f>IF(AQ189="7",BI189,0)</f>
        <v>0</v>
      </c>
      <c r="AF189" s="22">
        <f>IF(AQ189="2",BH189,0)</f>
        <v>0</v>
      </c>
      <c r="AG189" s="22">
        <f>IF(AQ189="2",BI189,0)</f>
        <v>0</v>
      </c>
      <c r="AH189" s="22">
        <f>IF(AQ189="0",BJ189,0)</f>
        <v>0</v>
      </c>
      <c r="AI189" s="34" t="s">
        <v>658</v>
      </c>
      <c r="AJ189" s="5">
        <f>IF(AN189=0,J189,0)</f>
        <v>0</v>
      </c>
      <c r="AK189" s="5">
        <f>IF(AN189=15,J189,0)</f>
        <v>0</v>
      </c>
      <c r="AL189" s="5">
        <f>IF(AN189=21,J189,0)</f>
        <v>240.98877000000002</v>
      </c>
      <c r="AN189" s="22">
        <v>21</v>
      </c>
      <c r="AO189" s="22">
        <f>G189*0</f>
        <v>0</v>
      </c>
      <c r="AP189" s="22">
        <f>G189*(1-0)</f>
        <v>1.7</v>
      </c>
      <c r="AQ189" s="38" t="s">
        <v>11</v>
      </c>
      <c r="AV189" s="22">
        <f>AW189+AX189</f>
        <v>240.98877000000002</v>
      </c>
      <c r="AW189" s="22">
        <f>F189*AO189</f>
        <v>0</v>
      </c>
      <c r="AX189" s="22">
        <f>F189*AP189</f>
        <v>240.98877000000002</v>
      </c>
      <c r="AY189" s="77" t="s">
        <v>907</v>
      </c>
      <c r="AZ189" s="77" t="s">
        <v>926</v>
      </c>
      <c r="BA189" s="34" t="s">
        <v>934</v>
      </c>
      <c r="BC189" s="22">
        <f>AW189+AX189</f>
        <v>240.98877000000002</v>
      </c>
      <c r="BD189" s="22">
        <f>G189/(100-BE189)*100</f>
        <v>1.7000000000000002</v>
      </c>
      <c r="BE189" s="22">
        <v>0</v>
      </c>
      <c r="BF189" s="22">
        <f>L189</f>
        <v>0</v>
      </c>
      <c r="BH189" s="5">
        <f>F189*AO189</f>
        <v>0</v>
      </c>
      <c r="BI189" s="5">
        <f>F189*AP189</f>
        <v>240.98877000000002</v>
      </c>
      <c r="BJ189" s="5">
        <f>F189*G189</f>
        <v>240.98877000000002</v>
      </c>
    </row>
    <row r="190" spans="1:62">
      <c r="A190" s="59"/>
      <c r="B190" s="28" t="s">
        <v>658</v>
      </c>
      <c r="C190" s="28" t="s">
        <v>346</v>
      </c>
      <c r="D190" s="28" t="s">
        <v>554</v>
      </c>
      <c r="E190" s="59" t="s">
        <v>6</v>
      </c>
      <c r="F190" s="59" t="s">
        <v>6</v>
      </c>
      <c r="G190" s="59" t="s">
        <v>6</v>
      </c>
      <c r="H190" s="8">
        <f>SUM(H191:H206)</f>
        <v>59028.844213656143</v>
      </c>
      <c r="I190" s="8">
        <f>SUM(I191:I206)</f>
        <v>135186.79542634386</v>
      </c>
      <c r="J190" s="8">
        <f>SUM(J191:J206)</f>
        <v>194215.63964000001</v>
      </c>
      <c r="K190" s="34"/>
      <c r="L190" s="8">
        <f>SUM(L191:L206)</f>
        <v>5.0225464259999999</v>
      </c>
      <c r="M190" s="34"/>
      <c r="AI190" s="34" t="s">
        <v>658</v>
      </c>
      <c r="AS190" s="8">
        <f>SUM(AJ191:AJ206)</f>
        <v>0</v>
      </c>
      <c r="AT190" s="8">
        <f>SUM(AK191:AK206)</f>
        <v>0</v>
      </c>
      <c r="AU190" s="8">
        <f>SUM(AL191:AL206)</f>
        <v>194215.63964000001</v>
      </c>
    </row>
    <row r="191" spans="1:62">
      <c r="A191" s="1" t="s">
        <v>130</v>
      </c>
      <c r="B191" s="1" t="s">
        <v>658</v>
      </c>
      <c r="C191" s="1" t="s">
        <v>347</v>
      </c>
      <c r="D191" s="1" t="s">
        <v>555</v>
      </c>
      <c r="E191" s="1" t="s">
        <v>636</v>
      </c>
      <c r="F191" s="5">
        <f>'Rozpočet - vybrané sloupce'!AN161</f>
        <v>38.5</v>
      </c>
      <c r="G191" s="5">
        <f>'Rozpočet - vybrané sloupce'!AS161</f>
        <v>599.99</v>
      </c>
      <c r="H191" s="5">
        <f>F191*AO191</f>
        <v>12971.03219237048</v>
      </c>
      <c r="I191" s="5">
        <f>F191*AP191</f>
        <v>10128.58280762952</v>
      </c>
      <c r="J191" s="5">
        <f>F191*G191</f>
        <v>23099.615000000002</v>
      </c>
      <c r="K191" s="5">
        <v>2.9850000000000002E-2</v>
      </c>
      <c r="L191" s="5">
        <f>F191*K191</f>
        <v>1.1492250000000002</v>
      </c>
      <c r="M191" s="38" t="s">
        <v>653</v>
      </c>
      <c r="Z191" s="22">
        <f>IF(AQ191="5",BJ191,0)</f>
        <v>0</v>
      </c>
      <c r="AB191" s="22">
        <f>IF(AQ191="1",BH191,0)</f>
        <v>0</v>
      </c>
      <c r="AC191" s="22">
        <f>IF(AQ191="1",BI191,0)</f>
        <v>0</v>
      </c>
      <c r="AD191" s="22">
        <f>IF(AQ191="7",BH191,0)</f>
        <v>12971.03219237048</v>
      </c>
      <c r="AE191" s="22">
        <f>IF(AQ191="7",BI191,0)</f>
        <v>10128.58280762952</v>
      </c>
      <c r="AF191" s="22">
        <f>IF(AQ191="2",BH191,0)</f>
        <v>0</v>
      </c>
      <c r="AG191" s="22">
        <f>IF(AQ191="2",BI191,0)</f>
        <v>0</v>
      </c>
      <c r="AH191" s="22">
        <f>IF(AQ191="0",BJ191,0)</f>
        <v>0</v>
      </c>
      <c r="AI191" s="34" t="s">
        <v>658</v>
      </c>
      <c r="AJ191" s="5">
        <f>IF(AN191=0,J191,0)</f>
        <v>0</v>
      </c>
      <c r="AK191" s="5">
        <f>IF(AN191=15,J191,0)</f>
        <v>0</v>
      </c>
      <c r="AL191" s="5">
        <f>IF(AN191=21,J191,0)</f>
        <v>23099.615000000002</v>
      </c>
      <c r="AN191" s="22">
        <v>21</v>
      </c>
      <c r="AO191" s="22">
        <f>G191*0.561525903889328</f>
        <v>336.90992707455791</v>
      </c>
      <c r="AP191" s="22">
        <f>G191*(1-0.561525903889328)</f>
        <v>263.0800729254421</v>
      </c>
      <c r="AQ191" s="38" t="s">
        <v>13</v>
      </c>
      <c r="AV191" s="22">
        <f>AW191+AX191</f>
        <v>23099.614999999998</v>
      </c>
      <c r="AW191" s="22">
        <f>F191*AO191</f>
        <v>12971.03219237048</v>
      </c>
      <c r="AX191" s="22">
        <f>F191*AP191</f>
        <v>10128.58280762952</v>
      </c>
      <c r="AY191" s="77" t="s">
        <v>908</v>
      </c>
      <c r="AZ191" s="77" t="s">
        <v>927</v>
      </c>
      <c r="BA191" s="34" t="s">
        <v>934</v>
      </c>
      <c r="BC191" s="22">
        <f>AW191+AX191</f>
        <v>23099.614999999998</v>
      </c>
      <c r="BD191" s="22">
        <f>G191/(100-BE191)*100</f>
        <v>599.99</v>
      </c>
      <c r="BE191" s="22">
        <v>0</v>
      </c>
      <c r="BF191" s="22">
        <f>L191</f>
        <v>1.1492250000000002</v>
      </c>
      <c r="BH191" s="5">
        <f>F191*AO191</f>
        <v>12971.03219237048</v>
      </c>
      <c r="BI191" s="5">
        <f>F191*AP191</f>
        <v>10128.58280762952</v>
      </c>
      <c r="BJ191" s="5">
        <f>F191*G191</f>
        <v>23099.615000000002</v>
      </c>
    </row>
    <row r="192" spans="1:62">
      <c r="D192" s="3" t="s">
        <v>556</v>
      </c>
    </row>
    <row r="193" spans="1:62">
      <c r="A193" s="1" t="s">
        <v>131</v>
      </c>
      <c r="B193" s="1" t="s">
        <v>658</v>
      </c>
      <c r="C193" s="1" t="s">
        <v>348</v>
      </c>
      <c r="D193" s="1" t="s">
        <v>557</v>
      </c>
      <c r="E193" s="1" t="s">
        <v>635</v>
      </c>
      <c r="F193" s="5">
        <f>'Rozpočet - vybrané sloupce'!AN163</f>
        <v>110.73</v>
      </c>
      <c r="G193" s="5">
        <f>'Rozpočet - vybrané sloupce'!AS163</f>
        <v>385.51</v>
      </c>
      <c r="H193" s="5">
        <f>F193*AO193</f>
        <v>758.50054086794307</v>
      </c>
      <c r="I193" s="5">
        <f>F193*AP193</f>
        <v>41929.021759132062</v>
      </c>
      <c r="J193" s="5">
        <f>F193*G193</f>
        <v>42687.522299999997</v>
      </c>
      <c r="K193" s="5">
        <v>2.5500000000000002E-3</v>
      </c>
      <c r="L193" s="5">
        <f>F193*K193</f>
        <v>0.28236150000000004</v>
      </c>
      <c r="M193" s="38" t="s">
        <v>653</v>
      </c>
      <c r="Z193" s="22">
        <f>IF(AQ193="5",BJ193,0)</f>
        <v>0</v>
      </c>
      <c r="AB193" s="22">
        <f>IF(AQ193="1",BH193,0)</f>
        <v>0</v>
      </c>
      <c r="AC193" s="22">
        <f>IF(AQ193="1",BI193,0)</f>
        <v>0</v>
      </c>
      <c r="AD193" s="22">
        <f>IF(AQ193="7",BH193,0)</f>
        <v>758.50054086794307</v>
      </c>
      <c r="AE193" s="22">
        <f>IF(AQ193="7",BI193,0)</f>
        <v>41929.021759132062</v>
      </c>
      <c r="AF193" s="22">
        <f>IF(AQ193="2",BH193,0)</f>
        <v>0</v>
      </c>
      <c r="AG193" s="22">
        <f>IF(AQ193="2",BI193,0)</f>
        <v>0</v>
      </c>
      <c r="AH193" s="22">
        <f>IF(AQ193="0",BJ193,0)</f>
        <v>0</v>
      </c>
      <c r="AI193" s="34" t="s">
        <v>658</v>
      </c>
      <c r="AJ193" s="5">
        <f>IF(AN193=0,J193,0)</f>
        <v>0</v>
      </c>
      <c r="AK193" s="5">
        <f>IF(AN193=15,J193,0)</f>
        <v>0</v>
      </c>
      <c r="AL193" s="5">
        <f>IF(AN193=21,J193,0)</f>
        <v>42687.522299999997</v>
      </c>
      <c r="AN193" s="22">
        <v>21</v>
      </c>
      <c r="AO193" s="22">
        <f>G193*0.0177686710307837</f>
        <v>6.8500003690774234</v>
      </c>
      <c r="AP193" s="22">
        <f>G193*(1-0.0177686710307837)</f>
        <v>378.65999963092258</v>
      </c>
      <c r="AQ193" s="38" t="s">
        <v>13</v>
      </c>
      <c r="AV193" s="22">
        <f>AW193+AX193</f>
        <v>42687.522300000004</v>
      </c>
      <c r="AW193" s="22">
        <f>F193*AO193</f>
        <v>758.50054086794307</v>
      </c>
      <c r="AX193" s="22">
        <f>F193*AP193</f>
        <v>41929.021759132062</v>
      </c>
      <c r="AY193" s="77" t="s">
        <v>908</v>
      </c>
      <c r="AZ193" s="77" t="s">
        <v>927</v>
      </c>
      <c r="BA193" s="34" t="s">
        <v>934</v>
      </c>
      <c r="BC193" s="22">
        <f>AW193+AX193</f>
        <v>42687.522300000004</v>
      </c>
      <c r="BD193" s="22">
        <f>G193/(100-BE193)*100</f>
        <v>385.51</v>
      </c>
      <c r="BE193" s="22">
        <v>0</v>
      </c>
      <c r="BF193" s="22">
        <f>L193</f>
        <v>0.28236150000000004</v>
      </c>
      <c r="BH193" s="5">
        <f>F193*AO193</f>
        <v>758.50054086794307</v>
      </c>
      <c r="BI193" s="5">
        <f>F193*AP193</f>
        <v>41929.021759132062</v>
      </c>
      <c r="BJ193" s="5">
        <f>F193*G193</f>
        <v>42687.522299999997</v>
      </c>
    </row>
    <row r="194" spans="1:62" ht="25.7" customHeight="1">
      <c r="C194" s="67" t="s">
        <v>672</v>
      </c>
      <c r="D194" s="167" t="s">
        <v>769</v>
      </c>
      <c r="E194" s="168"/>
      <c r="F194" s="168"/>
      <c r="G194" s="168"/>
      <c r="H194" s="168"/>
      <c r="I194" s="168"/>
      <c r="J194" s="168"/>
      <c r="K194" s="168"/>
      <c r="L194" s="168"/>
      <c r="M194" s="168"/>
    </row>
    <row r="195" spans="1:62">
      <c r="A195" s="1" t="s">
        <v>132</v>
      </c>
      <c r="B195" s="1" t="s">
        <v>658</v>
      </c>
      <c r="C195" s="1" t="s">
        <v>349</v>
      </c>
      <c r="D195" s="1" t="s">
        <v>558</v>
      </c>
      <c r="E195" s="1" t="s">
        <v>635</v>
      </c>
      <c r="F195" s="5">
        <f>'Rozpočet - vybrané sloupce'!AN164</f>
        <v>61.2</v>
      </c>
      <c r="G195" s="5">
        <f>'Rozpočet - vybrané sloupce'!AS164</f>
        <v>339.51</v>
      </c>
      <c r="H195" s="5">
        <f>F195*AO195</f>
        <v>419.22004035227525</v>
      </c>
      <c r="I195" s="5">
        <f>F195*AP195</f>
        <v>20358.791959647726</v>
      </c>
      <c r="J195" s="5">
        <f>F195*G195</f>
        <v>20778.011999999999</v>
      </c>
      <c r="K195" s="5">
        <v>2.5500000000000002E-3</v>
      </c>
      <c r="L195" s="5">
        <f>F195*K195</f>
        <v>0.15606000000000003</v>
      </c>
      <c r="M195" s="38" t="s">
        <v>653</v>
      </c>
      <c r="Z195" s="22">
        <f>IF(AQ195="5",BJ195,0)</f>
        <v>0</v>
      </c>
      <c r="AB195" s="22">
        <f>IF(AQ195="1",BH195,0)</f>
        <v>0</v>
      </c>
      <c r="AC195" s="22">
        <f>IF(AQ195="1",BI195,0)</f>
        <v>0</v>
      </c>
      <c r="AD195" s="22">
        <f>IF(AQ195="7",BH195,0)</f>
        <v>419.22004035227525</v>
      </c>
      <c r="AE195" s="22">
        <f>IF(AQ195="7",BI195,0)</f>
        <v>20358.791959647726</v>
      </c>
      <c r="AF195" s="22">
        <f>IF(AQ195="2",BH195,0)</f>
        <v>0</v>
      </c>
      <c r="AG195" s="22">
        <f>IF(AQ195="2",BI195,0)</f>
        <v>0</v>
      </c>
      <c r="AH195" s="22">
        <f>IF(AQ195="0",BJ195,0)</f>
        <v>0</v>
      </c>
      <c r="AI195" s="34" t="s">
        <v>658</v>
      </c>
      <c r="AJ195" s="5">
        <f>IF(AN195=0,J195,0)</f>
        <v>0</v>
      </c>
      <c r="AK195" s="5">
        <f>IF(AN195=15,J195,0)</f>
        <v>0</v>
      </c>
      <c r="AL195" s="5">
        <f>IF(AN195=21,J195,0)</f>
        <v>20778.011999999999</v>
      </c>
      <c r="AN195" s="22">
        <v>21</v>
      </c>
      <c r="AO195" s="22">
        <f>G195*0.0201761381383491</f>
        <v>6.8500006593509024</v>
      </c>
      <c r="AP195" s="22">
        <f>G195*(1-0.0201761381383491)</f>
        <v>332.65999934064911</v>
      </c>
      <c r="AQ195" s="38" t="s">
        <v>13</v>
      </c>
      <c r="AV195" s="22">
        <f>AW195+AX195</f>
        <v>20778.012000000002</v>
      </c>
      <c r="AW195" s="22">
        <f>F195*AO195</f>
        <v>419.22004035227525</v>
      </c>
      <c r="AX195" s="22">
        <f>F195*AP195</f>
        <v>20358.791959647726</v>
      </c>
      <c r="AY195" s="77" t="s">
        <v>908</v>
      </c>
      <c r="AZ195" s="77" t="s">
        <v>927</v>
      </c>
      <c r="BA195" s="34" t="s">
        <v>934</v>
      </c>
      <c r="BC195" s="22">
        <f>AW195+AX195</f>
        <v>20778.012000000002</v>
      </c>
      <c r="BD195" s="22">
        <f>G195/(100-BE195)*100</f>
        <v>339.51</v>
      </c>
      <c r="BE195" s="22">
        <v>0</v>
      </c>
      <c r="BF195" s="22">
        <f>L195</f>
        <v>0.15606000000000003</v>
      </c>
      <c r="BH195" s="5">
        <f>F195*AO195</f>
        <v>419.22004035227525</v>
      </c>
      <c r="BI195" s="5">
        <f>F195*AP195</f>
        <v>20358.791959647726</v>
      </c>
      <c r="BJ195" s="5">
        <f>F195*G195</f>
        <v>20778.011999999999</v>
      </c>
    </row>
    <row r="196" spans="1:62" ht="25.7" customHeight="1">
      <c r="C196" s="67" t="s">
        <v>672</v>
      </c>
      <c r="D196" s="167" t="s">
        <v>769</v>
      </c>
      <c r="E196" s="168"/>
      <c r="F196" s="168"/>
      <c r="G196" s="168"/>
      <c r="H196" s="168"/>
      <c r="I196" s="168"/>
      <c r="J196" s="168"/>
      <c r="K196" s="168"/>
      <c r="L196" s="168"/>
      <c r="M196" s="168"/>
    </row>
    <row r="197" spans="1:62">
      <c r="A197" s="1" t="s">
        <v>133</v>
      </c>
      <c r="B197" s="1" t="s">
        <v>658</v>
      </c>
      <c r="C197" s="1" t="s">
        <v>350</v>
      </c>
      <c r="D197" s="1" t="s">
        <v>559</v>
      </c>
      <c r="E197" s="1" t="s">
        <v>635</v>
      </c>
      <c r="F197" s="5">
        <f>'Rozpočet - vybrané sloupce'!AN165</f>
        <v>136.19999999999999</v>
      </c>
      <c r="G197" s="5">
        <f>'Rozpočet - vybrané sloupce'!AS165</f>
        <v>280.99</v>
      </c>
      <c r="H197" s="5">
        <f>F197*AO197</f>
        <v>932.96995124381863</v>
      </c>
      <c r="I197" s="5">
        <f>F197*AP197</f>
        <v>37337.86804875618</v>
      </c>
      <c r="J197" s="5">
        <f>F197*G197</f>
        <v>38270.837999999996</v>
      </c>
      <c r="K197" s="5">
        <v>2.5500000000000002E-3</v>
      </c>
      <c r="L197" s="5">
        <f>F197*K197</f>
        <v>0.34731000000000001</v>
      </c>
      <c r="M197" s="38" t="s">
        <v>653</v>
      </c>
      <c r="Z197" s="22">
        <f>IF(AQ197="5",BJ197,0)</f>
        <v>0</v>
      </c>
      <c r="AB197" s="22">
        <f>IF(AQ197="1",BH197,0)</f>
        <v>0</v>
      </c>
      <c r="AC197" s="22">
        <f>IF(AQ197="1",BI197,0)</f>
        <v>0</v>
      </c>
      <c r="AD197" s="22">
        <f>IF(AQ197="7",BH197,0)</f>
        <v>932.96995124381863</v>
      </c>
      <c r="AE197" s="22">
        <f>IF(AQ197="7",BI197,0)</f>
        <v>37337.86804875618</v>
      </c>
      <c r="AF197" s="22">
        <f>IF(AQ197="2",BH197,0)</f>
        <v>0</v>
      </c>
      <c r="AG197" s="22">
        <f>IF(AQ197="2",BI197,0)</f>
        <v>0</v>
      </c>
      <c r="AH197" s="22">
        <f>IF(AQ197="0",BJ197,0)</f>
        <v>0</v>
      </c>
      <c r="AI197" s="34" t="s">
        <v>658</v>
      </c>
      <c r="AJ197" s="5">
        <f>IF(AN197=0,J197,0)</f>
        <v>0</v>
      </c>
      <c r="AK197" s="5">
        <f>IF(AN197=15,J197,0)</f>
        <v>0</v>
      </c>
      <c r="AL197" s="5">
        <f>IF(AN197=21,J197,0)</f>
        <v>38270.837999999996</v>
      </c>
      <c r="AN197" s="22">
        <v>21</v>
      </c>
      <c r="AO197" s="22">
        <f>G197*0.0243780904730599</f>
        <v>6.849999642025101</v>
      </c>
      <c r="AP197" s="22">
        <f>G197*(1-0.0243780904730599)</f>
        <v>274.14000035797488</v>
      </c>
      <c r="AQ197" s="38" t="s">
        <v>13</v>
      </c>
      <c r="AV197" s="22">
        <f>AW197+AX197</f>
        <v>38270.837999999996</v>
      </c>
      <c r="AW197" s="22">
        <f>F197*AO197</f>
        <v>932.96995124381863</v>
      </c>
      <c r="AX197" s="22">
        <f>F197*AP197</f>
        <v>37337.86804875618</v>
      </c>
      <c r="AY197" s="77" t="s">
        <v>908</v>
      </c>
      <c r="AZ197" s="77" t="s">
        <v>927</v>
      </c>
      <c r="BA197" s="34" t="s">
        <v>934</v>
      </c>
      <c r="BC197" s="22">
        <f>AW197+AX197</f>
        <v>38270.837999999996</v>
      </c>
      <c r="BD197" s="22">
        <f>G197/(100-BE197)*100</f>
        <v>280.99</v>
      </c>
      <c r="BE197" s="22">
        <v>0</v>
      </c>
      <c r="BF197" s="22">
        <f>L197</f>
        <v>0.34731000000000001</v>
      </c>
      <c r="BH197" s="5">
        <f>F197*AO197</f>
        <v>932.96995124381863</v>
      </c>
      <c r="BI197" s="5">
        <f>F197*AP197</f>
        <v>37337.86804875618</v>
      </c>
      <c r="BJ197" s="5">
        <f>F197*G197</f>
        <v>38270.837999999996</v>
      </c>
    </row>
    <row r="198" spans="1:62" ht="25.7" customHeight="1">
      <c r="C198" s="67" t="s">
        <v>672</v>
      </c>
      <c r="D198" s="167" t="s">
        <v>769</v>
      </c>
      <c r="E198" s="168"/>
      <c r="F198" s="168"/>
      <c r="G198" s="168"/>
      <c r="H198" s="168"/>
      <c r="I198" s="168"/>
      <c r="J198" s="168"/>
      <c r="K198" s="168"/>
      <c r="L198" s="168"/>
      <c r="M198" s="168"/>
    </row>
    <row r="199" spans="1:62">
      <c r="A199" s="2" t="s">
        <v>134</v>
      </c>
      <c r="B199" s="2" t="s">
        <v>658</v>
      </c>
      <c r="C199" s="2" t="s">
        <v>351</v>
      </c>
      <c r="D199" s="2" t="s">
        <v>560</v>
      </c>
      <c r="E199" s="2" t="s">
        <v>638</v>
      </c>
      <c r="F199" s="6">
        <f>'Rozpočet - vybrané sloupce'!AN166</f>
        <v>5.367</v>
      </c>
      <c r="G199" s="6">
        <f>'Rozpočet - vybrané sloupce'!AS166</f>
        <v>6505</v>
      </c>
      <c r="H199" s="6">
        <f>F199*AO199</f>
        <v>34912.334999999999</v>
      </c>
      <c r="I199" s="6">
        <f>F199*AP199</f>
        <v>0</v>
      </c>
      <c r="J199" s="6">
        <f>F199*G199</f>
        <v>34912.334999999999</v>
      </c>
      <c r="K199" s="6">
        <v>0.55000000000000004</v>
      </c>
      <c r="L199" s="6">
        <f>F199*K199</f>
        <v>2.9518500000000003</v>
      </c>
      <c r="M199" s="39" t="s">
        <v>653</v>
      </c>
      <c r="Z199" s="22">
        <f>IF(AQ199="5",BJ199,0)</f>
        <v>0</v>
      </c>
      <c r="AB199" s="22">
        <f>IF(AQ199="1",BH199,0)</f>
        <v>0</v>
      </c>
      <c r="AC199" s="22">
        <f>IF(AQ199="1",BI199,0)</f>
        <v>0</v>
      </c>
      <c r="AD199" s="22">
        <f>IF(AQ199="7",BH199,0)</f>
        <v>34912.334999999999</v>
      </c>
      <c r="AE199" s="22">
        <f>IF(AQ199="7",BI199,0)</f>
        <v>0</v>
      </c>
      <c r="AF199" s="22">
        <f>IF(AQ199="2",BH199,0)</f>
        <v>0</v>
      </c>
      <c r="AG199" s="22">
        <f>IF(AQ199="2",BI199,0)</f>
        <v>0</v>
      </c>
      <c r="AH199" s="22">
        <f>IF(AQ199="0",BJ199,0)</f>
        <v>0</v>
      </c>
      <c r="AI199" s="34" t="s">
        <v>658</v>
      </c>
      <c r="AJ199" s="6">
        <f>IF(AN199=0,J199,0)</f>
        <v>0</v>
      </c>
      <c r="AK199" s="6">
        <f>IF(AN199=15,J199,0)</f>
        <v>0</v>
      </c>
      <c r="AL199" s="6">
        <f>IF(AN199=21,J199,0)</f>
        <v>34912.334999999999</v>
      </c>
      <c r="AN199" s="22">
        <v>21</v>
      </c>
      <c r="AO199" s="22">
        <f>G199*1</f>
        <v>6505</v>
      </c>
      <c r="AP199" s="22">
        <f>G199*(1-1)</f>
        <v>0</v>
      </c>
      <c r="AQ199" s="39" t="s">
        <v>13</v>
      </c>
      <c r="AV199" s="22">
        <f>AW199+AX199</f>
        <v>34912.334999999999</v>
      </c>
      <c r="AW199" s="22">
        <f>F199*AO199</f>
        <v>34912.334999999999</v>
      </c>
      <c r="AX199" s="22">
        <f>F199*AP199</f>
        <v>0</v>
      </c>
      <c r="AY199" s="77" t="s">
        <v>908</v>
      </c>
      <c r="AZ199" s="77" t="s">
        <v>927</v>
      </c>
      <c r="BA199" s="34" t="s">
        <v>934</v>
      </c>
      <c r="BC199" s="22">
        <f>AW199+AX199</f>
        <v>34912.334999999999</v>
      </c>
      <c r="BD199" s="22">
        <f>G199/(100-BE199)*100</f>
        <v>6505</v>
      </c>
      <c r="BE199" s="22">
        <v>0</v>
      </c>
      <c r="BF199" s="22">
        <f>L199</f>
        <v>2.9518500000000003</v>
      </c>
      <c r="BH199" s="6">
        <f>F199*AO199</f>
        <v>34912.334999999999</v>
      </c>
      <c r="BI199" s="6">
        <f>F199*AP199</f>
        <v>0</v>
      </c>
      <c r="BJ199" s="6">
        <f>F199*G199</f>
        <v>34912.334999999999</v>
      </c>
    </row>
    <row r="200" spans="1:62">
      <c r="A200" s="1" t="s">
        <v>135</v>
      </c>
      <c r="B200" s="1" t="s">
        <v>658</v>
      </c>
      <c r="C200" s="1" t="s">
        <v>352</v>
      </c>
      <c r="D200" s="1" t="s">
        <v>561</v>
      </c>
      <c r="E200" s="1" t="s">
        <v>638</v>
      </c>
      <c r="F200" s="5">
        <f>'Rozpočet - vybrané sloupce'!AN167</f>
        <v>5.367</v>
      </c>
      <c r="G200" s="5">
        <f>'Rozpočet - vybrané sloupce'!AS167</f>
        <v>2380</v>
      </c>
      <c r="H200" s="5">
        <f>F200*AO200</f>
        <v>0</v>
      </c>
      <c r="I200" s="5">
        <f>F200*AP200</f>
        <v>12773.46</v>
      </c>
      <c r="J200" s="5">
        <f>F200*G200</f>
        <v>12773.46</v>
      </c>
      <c r="K200" s="5">
        <v>0</v>
      </c>
      <c r="L200" s="5">
        <f>F200*K200</f>
        <v>0</v>
      </c>
      <c r="M200" s="38" t="s">
        <v>653</v>
      </c>
      <c r="Z200" s="22">
        <f>IF(AQ200="5",BJ200,0)</f>
        <v>0</v>
      </c>
      <c r="AB200" s="22">
        <f>IF(AQ200="1",BH200,0)</f>
        <v>0</v>
      </c>
      <c r="AC200" s="22">
        <f>IF(AQ200="1",BI200,0)</f>
        <v>0</v>
      </c>
      <c r="AD200" s="22">
        <f>IF(AQ200="7",BH200,0)</f>
        <v>0</v>
      </c>
      <c r="AE200" s="22">
        <f>IF(AQ200="7",BI200,0)</f>
        <v>12773.46</v>
      </c>
      <c r="AF200" s="22">
        <f>IF(AQ200="2",BH200,0)</f>
        <v>0</v>
      </c>
      <c r="AG200" s="22">
        <f>IF(AQ200="2",BI200,0)</f>
        <v>0</v>
      </c>
      <c r="AH200" s="22">
        <f>IF(AQ200="0",BJ200,0)</f>
        <v>0</v>
      </c>
      <c r="AI200" s="34" t="s">
        <v>658</v>
      </c>
      <c r="AJ200" s="5">
        <f>IF(AN200=0,J200,0)</f>
        <v>0</v>
      </c>
      <c r="AK200" s="5">
        <f>IF(AN200=15,J200,0)</f>
        <v>0</v>
      </c>
      <c r="AL200" s="5">
        <f>IF(AN200=21,J200,0)</f>
        <v>12773.46</v>
      </c>
      <c r="AN200" s="22">
        <v>21</v>
      </c>
      <c r="AO200" s="22">
        <f>G200*0</f>
        <v>0</v>
      </c>
      <c r="AP200" s="22">
        <f>G200*(1-0)</f>
        <v>2380</v>
      </c>
      <c r="AQ200" s="38" t="s">
        <v>13</v>
      </c>
      <c r="AV200" s="22">
        <f>AW200+AX200</f>
        <v>12773.46</v>
      </c>
      <c r="AW200" s="22">
        <f>F200*AO200</f>
        <v>0</v>
      </c>
      <c r="AX200" s="22">
        <f>F200*AP200</f>
        <v>12773.46</v>
      </c>
      <c r="AY200" s="77" t="s">
        <v>908</v>
      </c>
      <c r="AZ200" s="77" t="s">
        <v>927</v>
      </c>
      <c r="BA200" s="34" t="s">
        <v>934</v>
      </c>
      <c r="BC200" s="22">
        <f>AW200+AX200</f>
        <v>12773.46</v>
      </c>
      <c r="BD200" s="22">
        <f>G200/(100-BE200)*100</f>
        <v>2380</v>
      </c>
      <c r="BE200" s="22">
        <v>0</v>
      </c>
      <c r="BF200" s="22">
        <f>L200</f>
        <v>0</v>
      </c>
      <c r="BH200" s="5">
        <f>F200*AO200</f>
        <v>0</v>
      </c>
      <c r="BI200" s="5">
        <f>F200*AP200</f>
        <v>12773.46</v>
      </c>
      <c r="BJ200" s="5">
        <f>F200*G200</f>
        <v>12773.46</v>
      </c>
    </row>
    <row r="201" spans="1:62">
      <c r="C201" s="67" t="s">
        <v>672</v>
      </c>
      <c r="D201" s="167" t="s">
        <v>771</v>
      </c>
      <c r="E201" s="168"/>
      <c r="F201" s="168"/>
      <c r="G201" s="168"/>
      <c r="H201" s="168"/>
      <c r="I201" s="168"/>
      <c r="J201" s="168"/>
      <c r="K201" s="168"/>
      <c r="L201" s="168"/>
      <c r="M201" s="168"/>
    </row>
    <row r="202" spans="1:62">
      <c r="A202" s="1" t="s">
        <v>136</v>
      </c>
      <c r="B202" s="1" t="s">
        <v>658</v>
      </c>
      <c r="C202" s="1" t="s">
        <v>353</v>
      </c>
      <c r="D202" s="1" t="s">
        <v>562</v>
      </c>
      <c r="E202" s="1" t="s">
        <v>638</v>
      </c>
      <c r="F202" s="5">
        <f>'Rozpočet - vybrané sloupce'!AN168</f>
        <v>5.367</v>
      </c>
      <c r="G202" s="5">
        <f>'Rozpočet - vybrané sloupce'!AS168</f>
        <v>1354</v>
      </c>
      <c r="H202" s="5">
        <f>F202*AO202</f>
        <v>7266.9160000005504</v>
      </c>
      <c r="I202" s="5">
        <f>F202*AP202</f>
        <v>1.9999994495523135E-3</v>
      </c>
      <c r="J202" s="5">
        <f>F202*G202</f>
        <v>7266.9179999999997</v>
      </c>
      <c r="K202" s="5">
        <v>2.3570000000000001E-2</v>
      </c>
      <c r="L202" s="5">
        <f>F202*K202</f>
        <v>0.12650019000000001</v>
      </c>
      <c r="M202" s="38" t="s">
        <v>653</v>
      </c>
      <c r="Z202" s="22">
        <f>IF(AQ202="5",BJ202,0)</f>
        <v>0</v>
      </c>
      <c r="AB202" s="22">
        <f>IF(AQ202="1",BH202,0)</f>
        <v>0</v>
      </c>
      <c r="AC202" s="22">
        <f>IF(AQ202="1",BI202,0)</f>
        <v>0</v>
      </c>
      <c r="AD202" s="22">
        <f>IF(AQ202="7",BH202,0)</f>
        <v>7266.9160000005504</v>
      </c>
      <c r="AE202" s="22">
        <f>IF(AQ202="7",BI202,0)</f>
        <v>1.9999994495523135E-3</v>
      </c>
      <c r="AF202" s="22">
        <f>IF(AQ202="2",BH202,0)</f>
        <v>0</v>
      </c>
      <c r="AG202" s="22">
        <f>IF(AQ202="2",BI202,0)</f>
        <v>0</v>
      </c>
      <c r="AH202" s="22">
        <f>IF(AQ202="0",BJ202,0)</f>
        <v>0</v>
      </c>
      <c r="AI202" s="34" t="s">
        <v>658</v>
      </c>
      <c r="AJ202" s="5">
        <f>IF(AN202=0,J202,0)</f>
        <v>0</v>
      </c>
      <c r="AK202" s="5">
        <f>IF(AN202=15,J202,0)</f>
        <v>0</v>
      </c>
      <c r="AL202" s="5">
        <f>IF(AN202=21,J202,0)</f>
        <v>7266.9179999999997</v>
      </c>
      <c r="AN202" s="22">
        <v>21</v>
      </c>
      <c r="AO202" s="22">
        <f>G202*0.999999724780237</f>
        <v>1353.9996273524409</v>
      </c>
      <c r="AP202" s="22">
        <f>G202*(1-0.999999724780237)</f>
        <v>3.7264755907440161E-4</v>
      </c>
      <c r="AQ202" s="38" t="s">
        <v>13</v>
      </c>
      <c r="AV202" s="22">
        <f>AW202+AX202</f>
        <v>7266.9179999999997</v>
      </c>
      <c r="AW202" s="22">
        <f>F202*AO202</f>
        <v>7266.9160000005504</v>
      </c>
      <c r="AX202" s="22">
        <f>F202*AP202</f>
        <v>1.9999994495523135E-3</v>
      </c>
      <c r="AY202" s="77" t="s">
        <v>908</v>
      </c>
      <c r="AZ202" s="77" t="s">
        <v>927</v>
      </c>
      <c r="BA202" s="34" t="s">
        <v>934</v>
      </c>
      <c r="BC202" s="22">
        <f>AW202+AX202</f>
        <v>7266.9179999999997</v>
      </c>
      <c r="BD202" s="22">
        <f>G202/(100-BE202)*100</f>
        <v>1354</v>
      </c>
      <c r="BE202" s="22">
        <v>0</v>
      </c>
      <c r="BF202" s="22">
        <f>L202</f>
        <v>0.12650019000000001</v>
      </c>
      <c r="BH202" s="5">
        <f>F202*AO202</f>
        <v>7266.9160000005504</v>
      </c>
      <c r="BI202" s="5">
        <f>F202*AP202</f>
        <v>1.9999994495523135E-3</v>
      </c>
      <c r="BJ202" s="5">
        <f>F202*G202</f>
        <v>7266.9179999999997</v>
      </c>
    </row>
    <row r="203" spans="1:62">
      <c r="C203" s="67" t="s">
        <v>672</v>
      </c>
      <c r="D203" s="167" t="s">
        <v>772</v>
      </c>
      <c r="E203" s="168"/>
      <c r="F203" s="168"/>
      <c r="G203" s="168"/>
      <c r="H203" s="168"/>
      <c r="I203" s="168"/>
      <c r="J203" s="168"/>
      <c r="K203" s="168"/>
      <c r="L203" s="168"/>
      <c r="M203" s="168"/>
    </row>
    <row r="204" spans="1:62">
      <c r="A204" s="1" t="s">
        <v>137</v>
      </c>
      <c r="B204" s="1" t="s">
        <v>658</v>
      </c>
      <c r="C204" s="1" t="s">
        <v>354</v>
      </c>
      <c r="D204" s="1" t="s">
        <v>563</v>
      </c>
      <c r="E204" s="1" t="s">
        <v>636</v>
      </c>
      <c r="F204" s="5">
        <f>'Rozpočet - vybrané sloupce'!AN169</f>
        <v>153.9956</v>
      </c>
      <c r="G204" s="5">
        <f>'Rozpočet - vybrané sloupce'!AS169</f>
        <v>15.6</v>
      </c>
      <c r="H204" s="5">
        <f>F204*AO204</f>
        <v>1767.8704888210798</v>
      </c>
      <c r="I204" s="5">
        <f>F204*AP204</f>
        <v>634.46087117892012</v>
      </c>
      <c r="J204" s="5">
        <f>F204*G204</f>
        <v>2402.3313599999997</v>
      </c>
      <c r="K204" s="5">
        <v>6.0000000000000002E-5</v>
      </c>
      <c r="L204" s="5">
        <f>F204*K204</f>
        <v>9.2397360000000001E-3</v>
      </c>
      <c r="M204" s="38" t="s">
        <v>653</v>
      </c>
      <c r="Z204" s="22">
        <f>IF(AQ204="5",BJ204,0)</f>
        <v>0</v>
      </c>
      <c r="AB204" s="22">
        <f>IF(AQ204="1",BH204,0)</f>
        <v>0</v>
      </c>
      <c r="AC204" s="22">
        <f>IF(AQ204="1",BI204,0)</f>
        <v>0</v>
      </c>
      <c r="AD204" s="22">
        <f>IF(AQ204="7",BH204,0)</f>
        <v>1767.8704888210798</v>
      </c>
      <c r="AE204" s="22">
        <f>IF(AQ204="7",BI204,0)</f>
        <v>634.46087117892012</v>
      </c>
      <c r="AF204" s="22">
        <f>IF(AQ204="2",BH204,0)</f>
        <v>0</v>
      </c>
      <c r="AG204" s="22">
        <f>IF(AQ204="2",BI204,0)</f>
        <v>0</v>
      </c>
      <c r="AH204" s="22">
        <f>IF(AQ204="0",BJ204,0)</f>
        <v>0</v>
      </c>
      <c r="AI204" s="34" t="s">
        <v>658</v>
      </c>
      <c r="AJ204" s="5">
        <f>IF(AN204=0,J204,0)</f>
        <v>0</v>
      </c>
      <c r="AK204" s="5">
        <f>IF(AN204=15,J204,0)</f>
        <v>0</v>
      </c>
      <c r="AL204" s="5">
        <f>IF(AN204=21,J204,0)</f>
        <v>2402.3313599999997</v>
      </c>
      <c r="AN204" s="22">
        <v>21</v>
      </c>
      <c r="AO204" s="22">
        <f>G204*0.73589785250153</f>
        <v>11.480006499023867</v>
      </c>
      <c r="AP204" s="22">
        <f>G204*(1-0.73589785250153)</f>
        <v>4.1199935009761326</v>
      </c>
      <c r="AQ204" s="38" t="s">
        <v>13</v>
      </c>
      <c r="AV204" s="22">
        <f>AW204+AX204</f>
        <v>2402.3313600000001</v>
      </c>
      <c r="AW204" s="22">
        <f>F204*AO204</f>
        <v>1767.8704888210798</v>
      </c>
      <c r="AX204" s="22">
        <f>F204*AP204</f>
        <v>634.46087117892012</v>
      </c>
      <c r="AY204" s="77" t="s">
        <v>908</v>
      </c>
      <c r="AZ204" s="77" t="s">
        <v>927</v>
      </c>
      <c r="BA204" s="34" t="s">
        <v>934</v>
      </c>
      <c r="BC204" s="22">
        <f>AW204+AX204</f>
        <v>2402.3313600000001</v>
      </c>
      <c r="BD204" s="22">
        <f>G204/(100-BE204)*100</f>
        <v>15.6</v>
      </c>
      <c r="BE204" s="22">
        <v>0</v>
      </c>
      <c r="BF204" s="22">
        <f>L204</f>
        <v>9.2397360000000001E-3</v>
      </c>
      <c r="BH204" s="5">
        <f>F204*AO204</f>
        <v>1767.8704888210798</v>
      </c>
      <c r="BI204" s="5">
        <f>F204*AP204</f>
        <v>634.46087117892012</v>
      </c>
      <c r="BJ204" s="5">
        <f>F204*G204</f>
        <v>2402.3313599999997</v>
      </c>
    </row>
    <row r="205" spans="1:62">
      <c r="C205" s="67" t="s">
        <v>672</v>
      </c>
      <c r="D205" s="167" t="s">
        <v>778</v>
      </c>
      <c r="E205" s="168"/>
      <c r="F205" s="168"/>
      <c r="G205" s="168"/>
      <c r="H205" s="168"/>
      <c r="I205" s="168"/>
      <c r="J205" s="168"/>
      <c r="K205" s="168"/>
      <c r="L205" s="168"/>
      <c r="M205" s="168"/>
    </row>
    <row r="206" spans="1:62">
      <c r="A206" s="1" t="s">
        <v>138</v>
      </c>
      <c r="B206" s="1" t="s">
        <v>658</v>
      </c>
      <c r="C206" s="1" t="s">
        <v>355</v>
      </c>
      <c r="D206" s="1" t="s">
        <v>564</v>
      </c>
      <c r="E206" s="1" t="s">
        <v>643</v>
      </c>
      <c r="F206" s="5">
        <f>'Rozpočet - vybrané sloupce'!AN170</f>
        <v>1821.9103</v>
      </c>
      <c r="G206" s="5">
        <f>'Rozpočet - vybrané sloupce'!AS170</f>
        <v>6.6</v>
      </c>
      <c r="H206" s="5">
        <f>F206*AO206</f>
        <v>0</v>
      </c>
      <c r="I206" s="5">
        <f>F206*AP206</f>
        <v>12024.607979999999</v>
      </c>
      <c r="J206" s="5">
        <f>F206*G206</f>
        <v>12024.607979999999</v>
      </c>
      <c r="K206" s="5">
        <v>0</v>
      </c>
      <c r="L206" s="5">
        <f>F206*K206</f>
        <v>0</v>
      </c>
      <c r="M206" s="38" t="s">
        <v>653</v>
      </c>
      <c r="Z206" s="22">
        <f>IF(AQ206="5",BJ206,0)</f>
        <v>12024.607979999999</v>
      </c>
      <c r="AB206" s="22">
        <f>IF(AQ206="1",BH206,0)</f>
        <v>0</v>
      </c>
      <c r="AC206" s="22">
        <f>IF(AQ206="1",BI206,0)</f>
        <v>0</v>
      </c>
      <c r="AD206" s="22">
        <f>IF(AQ206="7",BH206,0)</f>
        <v>0</v>
      </c>
      <c r="AE206" s="22">
        <f>IF(AQ206="7",BI206,0)</f>
        <v>0</v>
      </c>
      <c r="AF206" s="22">
        <f>IF(AQ206="2",BH206,0)</f>
        <v>0</v>
      </c>
      <c r="AG206" s="22">
        <f>IF(AQ206="2",BI206,0)</f>
        <v>0</v>
      </c>
      <c r="AH206" s="22">
        <f>IF(AQ206="0",BJ206,0)</f>
        <v>0</v>
      </c>
      <c r="AI206" s="34" t="s">
        <v>658</v>
      </c>
      <c r="AJ206" s="5">
        <f>IF(AN206=0,J206,0)</f>
        <v>0</v>
      </c>
      <c r="AK206" s="5">
        <f>IF(AN206=15,J206,0)</f>
        <v>0</v>
      </c>
      <c r="AL206" s="5">
        <f>IF(AN206=21,J206,0)</f>
        <v>12024.607979999999</v>
      </c>
      <c r="AN206" s="22">
        <v>21</v>
      </c>
      <c r="AO206" s="22">
        <f>G206*0</f>
        <v>0</v>
      </c>
      <c r="AP206" s="22">
        <f>G206*(1-0)</f>
        <v>6.6</v>
      </c>
      <c r="AQ206" s="38" t="s">
        <v>11</v>
      </c>
      <c r="AV206" s="22">
        <f>AW206+AX206</f>
        <v>12024.607979999999</v>
      </c>
      <c r="AW206" s="22">
        <f>F206*AO206</f>
        <v>0</v>
      </c>
      <c r="AX206" s="22">
        <f>F206*AP206</f>
        <v>12024.607979999999</v>
      </c>
      <c r="AY206" s="77" t="s">
        <v>908</v>
      </c>
      <c r="AZ206" s="77" t="s">
        <v>927</v>
      </c>
      <c r="BA206" s="34" t="s">
        <v>934</v>
      </c>
      <c r="BC206" s="22">
        <f>AW206+AX206</f>
        <v>12024.607979999999</v>
      </c>
      <c r="BD206" s="22">
        <f>G206/(100-BE206)*100</f>
        <v>6.6000000000000005</v>
      </c>
      <c r="BE206" s="22">
        <v>0</v>
      </c>
      <c r="BF206" s="22">
        <f>L206</f>
        <v>0</v>
      </c>
      <c r="BH206" s="5">
        <f>F206*AO206</f>
        <v>0</v>
      </c>
      <c r="BI206" s="5">
        <f>F206*AP206</f>
        <v>12024.607979999999</v>
      </c>
      <c r="BJ206" s="5">
        <f>F206*G206</f>
        <v>12024.607979999999</v>
      </c>
    </row>
    <row r="207" spans="1:62">
      <c r="A207" s="59"/>
      <c r="B207" s="28" t="s">
        <v>658</v>
      </c>
      <c r="C207" s="28" t="s">
        <v>356</v>
      </c>
      <c r="D207" s="28" t="s">
        <v>565</v>
      </c>
      <c r="E207" s="59" t="s">
        <v>6</v>
      </c>
      <c r="F207" s="59" t="s">
        <v>6</v>
      </c>
      <c r="G207" s="59" t="s">
        <v>6</v>
      </c>
      <c r="H207" s="8">
        <f>SUM(H208:H218)</f>
        <v>19378.905000000017</v>
      </c>
      <c r="I207" s="8">
        <f>SUM(I208:I218)</f>
        <v>37489.134164999981</v>
      </c>
      <c r="J207" s="8">
        <f>SUM(J208:J218)</f>
        <v>56868.039164999995</v>
      </c>
      <c r="K207" s="34"/>
      <c r="L207" s="8">
        <f>SUM(L208:L218)</f>
        <v>0.17851210000000001</v>
      </c>
      <c r="M207" s="34"/>
      <c r="AI207" s="34" t="s">
        <v>658</v>
      </c>
      <c r="AS207" s="8">
        <f>SUM(AJ208:AJ218)</f>
        <v>0</v>
      </c>
      <c r="AT207" s="8">
        <f>SUM(AK208:AK218)</f>
        <v>0</v>
      </c>
      <c r="AU207" s="8">
        <f>SUM(AL208:AL218)</f>
        <v>56868.039164999995</v>
      </c>
    </row>
    <row r="208" spans="1:62">
      <c r="A208" s="1" t="s">
        <v>139</v>
      </c>
      <c r="B208" s="1" t="s">
        <v>658</v>
      </c>
      <c r="C208" s="1" t="s">
        <v>357</v>
      </c>
      <c r="D208" s="1" t="s">
        <v>566</v>
      </c>
      <c r="E208" s="1" t="s">
        <v>635</v>
      </c>
      <c r="F208" s="5">
        <f>'Rozpočet - vybrané sloupce'!AN172</f>
        <v>14</v>
      </c>
      <c r="G208" s="5">
        <f>'Rozpočet - vybrané sloupce'!AS172</f>
        <v>712</v>
      </c>
      <c r="H208" s="5">
        <f t="shared" ref="H208:H213" si="76">F208*AO208</f>
        <v>6495.7200000000039</v>
      </c>
      <c r="I208" s="5">
        <f t="shared" ref="I208:I213" si="77">F208*AP208</f>
        <v>3472.2799999999952</v>
      </c>
      <c r="J208" s="5">
        <f t="shared" ref="J208:J213" si="78">F208*G208</f>
        <v>9968</v>
      </c>
      <c r="K208" s="5">
        <v>2.6099999999999999E-3</v>
      </c>
      <c r="L208" s="5">
        <f t="shared" ref="L208:L213" si="79">F208*K208</f>
        <v>3.6539999999999996E-2</v>
      </c>
      <c r="M208" s="38" t="s">
        <v>653</v>
      </c>
      <c r="Z208" s="22">
        <f t="shared" ref="Z208:Z213" si="80">IF(AQ208="5",BJ208,0)</f>
        <v>0</v>
      </c>
      <c r="AB208" s="22">
        <f t="shared" ref="AB208:AB213" si="81">IF(AQ208="1",BH208,0)</f>
        <v>0</v>
      </c>
      <c r="AC208" s="22">
        <f t="shared" ref="AC208:AC213" si="82">IF(AQ208="1",BI208,0)</f>
        <v>0</v>
      </c>
      <c r="AD208" s="22">
        <f t="shared" ref="AD208:AD213" si="83">IF(AQ208="7",BH208,0)</f>
        <v>6495.7200000000039</v>
      </c>
      <c r="AE208" s="22">
        <f t="shared" ref="AE208:AE213" si="84">IF(AQ208="7",BI208,0)</f>
        <v>3472.2799999999952</v>
      </c>
      <c r="AF208" s="22">
        <f t="shared" ref="AF208:AF213" si="85">IF(AQ208="2",BH208,0)</f>
        <v>0</v>
      </c>
      <c r="AG208" s="22">
        <f t="shared" ref="AG208:AG213" si="86">IF(AQ208="2",BI208,0)</f>
        <v>0</v>
      </c>
      <c r="AH208" s="22">
        <f t="shared" ref="AH208:AH213" si="87">IF(AQ208="0",BJ208,0)</f>
        <v>0</v>
      </c>
      <c r="AI208" s="34" t="s">
        <v>658</v>
      </c>
      <c r="AJ208" s="5">
        <f t="shared" ref="AJ208:AJ213" si="88">IF(AN208=0,J208,0)</f>
        <v>0</v>
      </c>
      <c r="AK208" s="5">
        <f t="shared" ref="AK208:AK213" si="89">IF(AN208=15,J208,0)</f>
        <v>0</v>
      </c>
      <c r="AL208" s="5">
        <f t="shared" ref="AL208:AL213" si="90">IF(AN208=21,J208,0)</f>
        <v>9968</v>
      </c>
      <c r="AN208" s="22">
        <v>21</v>
      </c>
      <c r="AO208" s="22">
        <f>G208*0.651657303370787</f>
        <v>463.9800000000003</v>
      </c>
      <c r="AP208" s="22">
        <f>G208*(1-0.651657303370787)</f>
        <v>248.01999999999967</v>
      </c>
      <c r="AQ208" s="38" t="s">
        <v>13</v>
      </c>
      <c r="AV208" s="22">
        <f t="shared" ref="AV208:AV213" si="91">AW208+AX208</f>
        <v>9968</v>
      </c>
      <c r="AW208" s="22">
        <f t="shared" ref="AW208:AW213" si="92">F208*AO208</f>
        <v>6495.7200000000039</v>
      </c>
      <c r="AX208" s="22">
        <f t="shared" ref="AX208:AX213" si="93">F208*AP208</f>
        <v>3472.2799999999952</v>
      </c>
      <c r="AY208" s="77" t="s">
        <v>909</v>
      </c>
      <c r="AZ208" s="77" t="s">
        <v>927</v>
      </c>
      <c r="BA208" s="34" t="s">
        <v>934</v>
      </c>
      <c r="BC208" s="22">
        <f t="shared" ref="BC208:BC213" si="94">AW208+AX208</f>
        <v>9968</v>
      </c>
      <c r="BD208" s="22">
        <f t="shared" ref="BD208:BD213" si="95">G208/(100-BE208)*100</f>
        <v>712</v>
      </c>
      <c r="BE208" s="22">
        <v>0</v>
      </c>
      <c r="BF208" s="22">
        <f t="shared" ref="BF208:BF213" si="96">L208</f>
        <v>3.6539999999999996E-2</v>
      </c>
      <c r="BH208" s="5">
        <f t="shared" ref="BH208:BH213" si="97">F208*AO208</f>
        <v>6495.7200000000039</v>
      </c>
      <c r="BI208" s="5">
        <f t="shared" ref="BI208:BI213" si="98">F208*AP208</f>
        <v>3472.2799999999952</v>
      </c>
      <c r="BJ208" s="5">
        <f t="shared" ref="BJ208:BJ213" si="99">F208*G208</f>
        <v>9968</v>
      </c>
    </row>
    <row r="209" spans="1:62">
      <c r="A209" s="1" t="s">
        <v>140</v>
      </c>
      <c r="B209" s="1" t="s">
        <v>658</v>
      </c>
      <c r="C209" s="1" t="s">
        <v>358</v>
      </c>
      <c r="D209" s="1" t="s">
        <v>567</v>
      </c>
      <c r="E209" s="1" t="s">
        <v>635</v>
      </c>
      <c r="F209" s="5">
        <f>'Rozpočet - vybrané sloupce'!AN173</f>
        <v>5.65</v>
      </c>
      <c r="G209" s="5">
        <f>'Rozpočet - vybrané sloupce'!AS173</f>
        <v>580</v>
      </c>
      <c r="H209" s="5">
        <f t="shared" si="76"/>
        <v>2111.9134999999992</v>
      </c>
      <c r="I209" s="5">
        <f t="shared" si="77"/>
        <v>1165.086500000001</v>
      </c>
      <c r="J209" s="5">
        <f t="shared" si="78"/>
        <v>3277</v>
      </c>
      <c r="K209" s="5">
        <v>1.5900000000000001E-3</v>
      </c>
      <c r="L209" s="5">
        <f t="shared" si="79"/>
        <v>8.9835000000000002E-3</v>
      </c>
      <c r="M209" s="38" t="s">
        <v>653</v>
      </c>
      <c r="Z209" s="22">
        <f t="shared" si="80"/>
        <v>0</v>
      </c>
      <c r="AB209" s="22">
        <f t="shared" si="81"/>
        <v>0</v>
      </c>
      <c r="AC209" s="22">
        <f t="shared" si="82"/>
        <v>0</v>
      </c>
      <c r="AD209" s="22">
        <f t="shared" si="83"/>
        <v>2111.9134999999992</v>
      </c>
      <c r="AE209" s="22">
        <f t="shared" si="84"/>
        <v>1165.086500000001</v>
      </c>
      <c r="AF209" s="22">
        <f t="shared" si="85"/>
        <v>0</v>
      </c>
      <c r="AG209" s="22">
        <f t="shared" si="86"/>
        <v>0</v>
      </c>
      <c r="AH209" s="22">
        <f t="shared" si="87"/>
        <v>0</v>
      </c>
      <c r="AI209" s="34" t="s">
        <v>658</v>
      </c>
      <c r="AJ209" s="5">
        <f t="shared" si="88"/>
        <v>0</v>
      </c>
      <c r="AK209" s="5">
        <f t="shared" si="89"/>
        <v>0</v>
      </c>
      <c r="AL209" s="5">
        <f t="shared" si="90"/>
        <v>3277</v>
      </c>
      <c r="AN209" s="22">
        <v>21</v>
      </c>
      <c r="AO209" s="22">
        <f>G209*0.644465517241379</f>
        <v>373.78999999999985</v>
      </c>
      <c r="AP209" s="22">
        <f>G209*(1-0.644465517241379)</f>
        <v>206.21000000000018</v>
      </c>
      <c r="AQ209" s="38" t="s">
        <v>13</v>
      </c>
      <c r="AV209" s="22">
        <f t="shared" si="91"/>
        <v>3277</v>
      </c>
      <c r="AW209" s="22">
        <f t="shared" si="92"/>
        <v>2111.9134999999992</v>
      </c>
      <c r="AX209" s="22">
        <f t="shared" si="93"/>
        <v>1165.086500000001</v>
      </c>
      <c r="AY209" s="77" t="s">
        <v>909</v>
      </c>
      <c r="AZ209" s="77" t="s">
        <v>927</v>
      </c>
      <c r="BA209" s="34" t="s">
        <v>934</v>
      </c>
      <c r="BC209" s="22">
        <f t="shared" si="94"/>
        <v>3277</v>
      </c>
      <c r="BD209" s="22">
        <f t="shared" si="95"/>
        <v>580</v>
      </c>
      <c r="BE209" s="22">
        <v>0</v>
      </c>
      <c r="BF209" s="22">
        <f t="shared" si="96"/>
        <v>8.9835000000000002E-3</v>
      </c>
      <c r="BH209" s="5">
        <f t="shared" si="97"/>
        <v>2111.9134999999992</v>
      </c>
      <c r="BI209" s="5">
        <f t="shared" si="98"/>
        <v>1165.086500000001</v>
      </c>
      <c r="BJ209" s="5">
        <f t="shared" si="99"/>
        <v>3277</v>
      </c>
    </row>
    <row r="210" spans="1:62">
      <c r="A210" s="1" t="s">
        <v>141</v>
      </c>
      <c r="B210" s="1" t="s">
        <v>658</v>
      </c>
      <c r="C210" s="1" t="s">
        <v>359</v>
      </c>
      <c r="D210" s="1" t="s">
        <v>568</v>
      </c>
      <c r="E210" s="1" t="s">
        <v>635</v>
      </c>
      <c r="F210" s="5">
        <f>'Rozpočet - vybrané sloupce'!AN174</f>
        <v>15.8</v>
      </c>
      <c r="G210" s="5">
        <f>'Rozpočet - vybrané sloupce'!AS174</f>
        <v>489</v>
      </c>
      <c r="H210" s="5">
        <f t="shared" si="76"/>
        <v>0</v>
      </c>
      <c r="I210" s="5">
        <f t="shared" si="77"/>
        <v>7726.2000000000007</v>
      </c>
      <c r="J210" s="5">
        <f t="shared" si="78"/>
        <v>7726.2000000000007</v>
      </c>
      <c r="K210" s="5">
        <v>0</v>
      </c>
      <c r="L210" s="5">
        <f t="shared" si="79"/>
        <v>0</v>
      </c>
      <c r="M210" s="38" t="s">
        <v>655</v>
      </c>
      <c r="Z210" s="22">
        <f t="shared" si="80"/>
        <v>0</v>
      </c>
      <c r="AB210" s="22">
        <f t="shared" si="81"/>
        <v>0</v>
      </c>
      <c r="AC210" s="22">
        <f t="shared" si="82"/>
        <v>0</v>
      </c>
      <c r="AD210" s="22">
        <f t="shared" si="83"/>
        <v>0</v>
      </c>
      <c r="AE210" s="22">
        <f t="shared" si="84"/>
        <v>7726.2000000000007</v>
      </c>
      <c r="AF210" s="22">
        <f t="shared" si="85"/>
        <v>0</v>
      </c>
      <c r="AG210" s="22">
        <f t="shared" si="86"/>
        <v>0</v>
      </c>
      <c r="AH210" s="22">
        <f t="shared" si="87"/>
        <v>0</v>
      </c>
      <c r="AI210" s="34" t="s">
        <v>658</v>
      </c>
      <c r="AJ210" s="5">
        <f t="shared" si="88"/>
        <v>0</v>
      </c>
      <c r="AK210" s="5">
        <f t="shared" si="89"/>
        <v>0</v>
      </c>
      <c r="AL210" s="5">
        <f t="shared" si="90"/>
        <v>7726.2000000000007</v>
      </c>
      <c r="AN210" s="22">
        <v>21</v>
      </c>
      <c r="AO210" s="22">
        <f>G210*0</f>
        <v>0</v>
      </c>
      <c r="AP210" s="22">
        <f>G210*(1-0)</f>
        <v>489</v>
      </c>
      <c r="AQ210" s="38" t="s">
        <v>13</v>
      </c>
      <c r="AV210" s="22">
        <f t="shared" si="91"/>
        <v>7726.2000000000007</v>
      </c>
      <c r="AW210" s="22">
        <f t="shared" si="92"/>
        <v>0</v>
      </c>
      <c r="AX210" s="22">
        <f t="shared" si="93"/>
        <v>7726.2000000000007</v>
      </c>
      <c r="AY210" s="77" t="s">
        <v>909</v>
      </c>
      <c r="AZ210" s="77" t="s">
        <v>927</v>
      </c>
      <c r="BA210" s="34" t="s">
        <v>934</v>
      </c>
      <c r="BC210" s="22">
        <f t="shared" si="94"/>
        <v>7726.2000000000007</v>
      </c>
      <c r="BD210" s="22">
        <f t="shared" si="95"/>
        <v>488.99999999999994</v>
      </c>
      <c r="BE210" s="22">
        <v>0</v>
      </c>
      <c r="BF210" s="22">
        <f t="shared" si="96"/>
        <v>0</v>
      </c>
      <c r="BH210" s="5">
        <f t="shared" si="97"/>
        <v>0</v>
      </c>
      <c r="BI210" s="5">
        <f t="shared" si="98"/>
        <v>7726.2000000000007</v>
      </c>
      <c r="BJ210" s="5">
        <f t="shared" si="99"/>
        <v>7726.2000000000007</v>
      </c>
    </row>
    <row r="211" spans="1:62">
      <c r="A211" s="1" t="s">
        <v>142</v>
      </c>
      <c r="B211" s="1" t="s">
        <v>658</v>
      </c>
      <c r="C211" s="1" t="s">
        <v>359</v>
      </c>
      <c r="D211" s="1" t="s">
        <v>569</v>
      </c>
      <c r="E211" s="1" t="s">
        <v>635</v>
      </c>
      <c r="F211" s="5">
        <f>'Rozpočet - vybrané sloupce'!AN175</f>
        <v>16.22</v>
      </c>
      <c r="G211" s="5">
        <f>'Rozpočet - vybrané sloupce'!AS175</f>
        <v>582</v>
      </c>
      <c r="H211" s="5">
        <f t="shared" si="76"/>
        <v>0</v>
      </c>
      <c r="I211" s="5">
        <f t="shared" si="77"/>
        <v>9440.0399999999991</v>
      </c>
      <c r="J211" s="5">
        <f t="shared" si="78"/>
        <v>9440.0399999999991</v>
      </c>
      <c r="K211" s="5">
        <v>0</v>
      </c>
      <c r="L211" s="5">
        <f t="shared" si="79"/>
        <v>0</v>
      </c>
      <c r="M211" s="38" t="s">
        <v>655</v>
      </c>
      <c r="Z211" s="22">
        <f t="shared" si="80"/>
        <v>0</v>
      </c>
      <c r="AB211" s="22">
        <f t="shared" si="81"/>
        <v>0</v>
      </c>
      <c r="AC211" s="22">
        <f t="shared" si="82"/>
        <v>0</v>
      </c>
      <c r="AD211" s="22">
        <f t="shared" si="83"/>
        <v>0</v>
      </c>
      <c r="AE211" s="22">
        <f t="shared" si="84"/>
        <v>9440.0399999999991</v>
      </c>
      <c r="AF211" s="22">
        <f t="shared" si="85"/>
        <v>0</v>
      </c>
      <c r="AG211" s="22">
        <f t="shared" si="86"/>
        <v>0</v>
      </c>
      <c r="AH211" s="22">
        <f t="shared" si="87"/>
        <v>0</v>
      </c>
      <c r="AI211" s="34" t="s">
        <v>658</v>
      </c>
      <c r="AJ211" s="5">
        <f t="shared" si="88"/>
        <v>0</v>
      </c>
      <c r="AK211" s="5">
        <f t="shared" si="89"/>
        <v>0</v>
      </c>
      <c r="AL211" s="5">
        <f t="shared" si="90"/>
        <v>9440.0399999999991</v>
      </c>
      <c r="AN211" s="22">
        <v>21</v>
      </c>
      <c r="AO211" s="22">
        <f>G211*0</f>
        <v>0</v>
      </c>
      <c r="AP211" s="22">
        <f>G211*(1-0)</f>
        <v>582</v>
      </c>
      <c r="AQ211" s="38" t="s">
        <v>13</v>
      </c>
      <c r="AV211" s="22">
        <f t="shared" si="91"/>
        <v>9440.0399999999991</v>
      </c>
      <c r="AW211" s="22">
        <f t="shared" si="92"/>
        <v>0</v>
      </c>
      <c r="AX211" s="22">
        <f t="shared" si="93"/>
        <v>9440.0399999999991</v>
      </c>
      <c r="AY211" s="77" t="s">
        <v>909</v>
      </c>
      <c r="AZ211" s="77" t="s">
        <v>927</v>
      </c>
      <c r="BA211" s="34" t="s">
        <v>934</v>
      </c>
      <c r="BC211" s="22">
        <f t="shared" si="94"/>
        <v>9440.0399999999991</v>
      </c>
      <c r="BD211" s="22">
        <f t="shared" si="95"/>
        <v>582</v>
      </c>
      <c r="BE211" s="22">
        <v>0</v>
      </c>
      <c r="BF211" s="22">
        <f t="shared" si="96"/>
        <v>0</v>
      </c>
      <c r="BH211" s="5">
        <f t="shared" si="97"/>
        <v>0</v>
      </c>
      <c r="BI211" s="5">
        <f t="shared" si="98"/>
        <v>9440.0399999999991</v>
      </c>
      <c r="BJ211" s="5">
        <f t="shared" si="99"/>
        <v>9440.0399999999991</v>
      </c>
    </row>
    <row r="212" spans="1:62">
      <c r="A212" s="1" t="s">
        <v>143</v>
      </c>
      <c r="B212" s="1" t="s">
        <v>658</v>
      </c>
      <c r="C212" s="1" t="s">
        <v>360</v>
      </c>
      <c r="D212" s="1" t="s">
        <v>570</v>
      </c>
      <c r="E212" s="1" t="s">
        <v>635</v>
      </c>
      <c r="F212" s="5">
        <f>'Rozpočet - vybrané sloupce'!AN176</f>
        <v>12.59</v>
      </c>
      <c r="G212" s="5">
        <f>'Rozpočet - vybrané sloupce'!AS176</f>
        <v>519</v>
      </c>
      <c r="H212" s="5">
        <f t="shared" si="76"/>
        <v>3036.5821000000028</v>
      </c>
      <c r="I212" s="5">
        <f t="shared" si="77"/>
        <v>3497.6278999999977</v>
      </c>
      <c r="J212" s="5">
        <f t="shared" si="78"/>
        <v>6534.21</v>
      </c>
      <c r="K212" s="5">
        <v>2.8800000000000002E-3</v>
      </c>
      <c r="L212" s="5">
        <f t="shared" si="79"/>
        <v>3.6259200000000005E-2</v>
      </c>
      <c r="M212" s="38" t="s">
        <v>653</v>
      </c>
      <c r="Z212" s="22">
        <f t="shared" si="80"/>
        <v>0</v>
      </c>
      <c r="AB212" s="22">
        <f t="shared" si="81"/>
        <v>0</v>
      </c>
      <c r="AC212" s="22">
        <f t="shared" si="82"/>
        <v>0</v>
      </c>
      <c r="AD212" s="22">
        <f t="shared" si="83"/>
        <v>3036.5821000000028</v>
      </c>
      <c r="AE212" s="22">
        <f t="shared" si="84"/>
        <v>3497.6278999999977</v>
      </c>
      <c r="AF212" s="22">
        <f t="shared" si="85"/>
        <v>0</v>
      </c>
      <c r="AG212" s="22">
        <f t="shared" si="86"/>
        <v>0</v>
      </c>
      <c r="AH212" s="22">
        <f t="shared" si="87"/>
        <v>0</v>
      </c>
      <c r="AI212" s="34" t="s">
        <v>658</v>
      </c>
      <c r="AJ212" s="5">
        <f t="shared" si="88"/>
        <v>0</v>
      </c>
      <c r="AK212" s="5">
        <f t="shared" si="89"/>
        <v>0</v>
      </c>
      <c r="AL212" s="5">
        <f t="shared" si="90"/>
        <v>6534.21</v>
      </c>
      <c r="AN212" s="22">
        <v>21</v>
      </c>
      <c r="AO212" s="22">
        <f>G212*0.464720616570328</f>
        <v>241.19000000000023</v>
      </c>
      <c r="AP212" s="22">
        <f>G212*(1-0.464720616570328)</f>
        <v>277.80999999999983</v>
      </c>
      <c r="AQ212" s="38" t="s">
        <v>13</v>
      </c>
      <c r="AV212" s="22">
        <f t="shared" si="91"/>
        <v>6534.2100000000009</v>
      </c>
      <c r="AW212" s="22">
        <f t="shared" si="92"/>
        <v>3036.5821000000028</v>
      </c>
      <c r="AX212" s="22">
        <f t="shared" si="93"/>
        <v>3497.6278999999977</v>
      </c>
      <c r="AY212" s="77" t="s">
        <v>909</v>
      </c>
      <c r="AZ212" s="77" t="s">
        <v>927</v>
      </c>
      <c r="BA212" s="34" t="s">
        <v>934</v>
      </c>
      <c r="BC212" s="22">
        <f t="shared" si="94"/>
        <v>6534.2100000000009</v>
      </c>
      <c r="BD212" s="22">
        <f t="shared" si="95"/>
        <v>519</v>
      </c>
      <c r="BE212" s="22">
        <v>0</v>
      </c>
      <c r="BF212" s="22">
        <f t="shared" si="96"/>
        <v>3.6259200000000005E-2</v>
      </c>
      <c r="BH212" s="5">
        <f t="shared" si="97"/>
        <v>3036.5821000000028</v>
      </c>
      <c r="BI212" s="5">
        <f t="shared" si="98"/>
        <v>3497.6278999999977</v>
      </c>
      <c r="BJ212" s="5">
        <f t="shared" si="99"/>
        <v>6534.21</v>
      </c>
    </row>
    <row r="213" spans="1:62">
      <c r="A213" s="1" t="s">
        <v>144</v>
      </c>
      <c r="B213" s="1" t="s">
        <v>658</v>
      </c>
      <c r="C213" s="1" t="s">
        <v>361</v>
      </c>
      <c r="D213" s="1" t="s">
        <v>571</v>
      </c>
      <c r="E213" s="1" t="s">
        <v>637</v>
      </c>
      <c r="F213" s="5">
        <f>'Rozpočet - vybrané sloupce'!AN177</f>
        <v>2</v>
      </c>
      <c r="G213" s="5">
        <f>'Rozpočet - vybrané sloupce'!AS177</f>
        <v>1105</v>
      </c>
      <c r="H213" s="5">
        <f t="shared" si="76"/>
        <v>809.76000000000113</v>
      </c>
      <c r="I213" s="5">
        <f t="shared" si="77"/>
        <v>1400.2399999999989</v>
      </c>
      <c r="J213" s="5">
        <f t="shared" si="78"/>
        <v>2210</v>
      </c>
      <c r="K213" s="5">
        <v>2.9099999999999998E-3</v>
      </c>
      <c r="L213" s="5">
        <f t="shared" si="79"/>
        <v>5.8199999999999997E-3</v>
      </c>
      <c r="M213" s="38" t="s">
        <v>653</v>
      </c>
      <c r="Z213" s="22">
        <f t="shared" si="80"/>
        <v>0</v>
      </c>
      <c r="AB213" s="22">
        <f t="shared" si="81"/>
        <v>0</v>
      </c>
      <c r="AC213" s="22">
        <f t="shared" si="82"/>
        <v>0</v>
      </c>
      <c r="AD213" s="22">
        <f t="shared" si="83"/>
        <v>809.76000000000113</v>
      </c>
      <c r="AE213" s="22">
        <f t="shared" si="84"/>
        <v>1400.2399999999989</v>
      </c>
      <c r="AF213" s="22">
        <f t="shared" si="85"/>
        <v>0</v>
      </c>
      <c r="AG213" s="22">
        <f t="shared" si="86"/>
        <v>0</v>
      </c>
      <c r="AH213" s="22">
        <f t="shared" si="87"/>
        <v>0</v>
      </c>
      <c r="AI213" s="34" t="s">
        <v>658</v>
      </c>
      <c r="AJ213" s="5">
        <f t="shared" si="88"/>
        <v>0</v>
      </c>
      <c r="AK213" s="5">
        <f t="shared" si="89"/>
        <v>0</v>
      </c>
      <c r="AL213" s="5">
        <f t="shared" si="90"/>
        <v>2210</v>
      </c>
      <c r="AN213" s="22">
        <v>21</v>
      </c>
      <c r="AO213" s="22">
        <f>G213*0.366407239819005</f>
        <v>404.88000000000056</v>
      </c>
      <c r="AP213" s="22">
        <f>G213*(1-0.366407239819005)</f>
        <v>700.11999999999944</v>
      </c>
      <c r="AQ213" s="38" t="s">
        <v>13</v>
      </c>
      <c r="AV213" s="22">
        <f t="shared" si="91"/>
        <v>2210</v>
      </c>
      <c r="AW213" s="22">
        <f t="shared" si="92"/>
        <v>809.76000000000113</v>
      </c>
      <c r="AX213" s="22">
        <f t="shared" si="93"/>
        <v>1400.2399999999989</v>
      </c>
      <c r="AY213" s="77" t="s">
        <v>909</v>
      </c>
      <c r="AZ213" s="77" t="s">
        <v>927</v>
      </c>
      <c r="BA213" s="34" t="s">
        <v>934</v>
      </c>
      <c r="BC213" s="22">
        <f t="shared" si="94"/>
        <v>2210</v>
      </c>
      <c r="BD213" s="22">
        <f t="shared" si="95"/>
        <v>1105</v>
      </c>
      <c r="BE213" s="22">
        <v>0</v>
      </c>
      <c r="BF213" s="22">
        <f t="shared" si="96"/>
        <v>5.8199999999999997E-3</v>
      </c>
      <c r="BH213" s="5">
        <f t="shared" si="97"/>
        <v>809.76000000000113</v>
      </c>
      <c r="BI213" s="5">
        <f t="shared" si="98"/>
        <v>1400.2399999999989</v>
      </c>
      <c r="BJ213" s="5">
        <f t="shared" si="99"/>
        <v>2210</v>
      </c>
    </row>
    <row r="214" spans="1:62">
      <c r="C214" s="67" t="s">
        <v>672</v>
      </c>
      <c r="D214" s="167" t="s">
        <v>779</v>
      </c>
      <c r="E214" s="168"/>
      <c r="F214" s="168"/>
      <c r="G214" s="168"/>
      <c r="H214" s="168"/>
      <c r="I214" s="168"/>
      <c r="J214" s="168"/>
      <c r="K214" s="168"/>
      <c r="L214" s="168"/>
      <c r="M214" s="168"/>
    </row>
    <row r="215" spans="1:62">
      <c r="A215" s="1" t="s">
        <v>145</v>
      </c>
      <c r="B215" s="1" t="s">
        <v>658</v>
      </c>
      <c r="C215" s="1" t="s">
        <v>362</v>
      </c>
      <c r="D215" s="1" t="s">
        <v>572</v>
      </c>
      <c r="E215" s="1" t="s">
        <v>637</v>
      </c>
      <c r="F215" s="5">
        <f>'Rozpočet - vybrané sloupce'!AN178</f>
        <v>4</v>
      </c>
      <c r="G215" s="5">
        <f>'Rozpočet - vybrané sloupce'!AS178</f>
        <v>310.01</v>
      </c>
      <c r="H215" s="5">
        <f>F215*AO215</f>
        <v>419.80000000000041</v>
      </c>
      <c r="I215" s="5">
        <f>F215*AP215</f>
        <v>820.23999999999944</v>
      </c>
      <c r="J215" s="5">
        <f>F215*G215</f>
        <v>1240.04</v>
      </c>
      <c r="K215" s="5">
        <v>2.9999999999999997E-4</v>
      </c>
      <c r="L215" s="5">
        <f>F215*K215</f>
        <v>1.1999999999999999E-3</v>
      </c>
      <c r="M215" s="38" t="s">
        <v>653</v>
      </c>
      <c r="Z215" s="22">
        <f>IF(AQ215="5",BJ215,0)</f>
        <v>0</v>
      </c>
      <c r="AB215" s="22">
        <f>IF(AQ215="1",BH215,0)</f>
        <v>0</v>
      </c>
      <c r="AC215" s="22">
        <f>IF(AQ215="1",BI215,0)</f>
        <v>0</v>
      </c>
      <c r="AD215" s="22">
        <f>IF(AQ215="7",BH215,0)</f>
        <v>419.80000000000041</v>
      </c>
      <c r="AE215" s="22">
        <f>IF(AQ215="7",BI215,0)</f>
        <v>820.23999999999944</v>
      </c>
      <c r="AF215" s="22">
        <f>IF(AQ215="2",BH215,0)</f>
        <v>0</v>
      </c>
      <c r="AG215" s="22">
        <f>IF(AQ215="2",BI215,0)</f>
        <v>0</v>
      </c>
      <c r="AH215" s="22">
        <f>IF(AQ215="0",BJ215,0)</f>
        <v>0</v>
      </c>
      <c r="AI215" s="34" t="s">
        <v>658</v>
      </c>
      <c r="AJ215" s="5">
        <f>IF(AN215=0,J215,0)</f>
        <v>0</v>
      </c>
      <c r="AK215" s="5">
        <f>IF(AN215=15,J215,0)</f>
        <v>0</v>
      </c>
      <c r="AL215" s="5">
        <f>IF(AN215=21,J215,0)</f>
        <v>1240.04</v>
      </c>
      <c r="AN215" s="22">
        <v>21</v>
      </c>
      <c r="AO215" s="22">
        <f>G215*0.338537466533338</f>
        <v>104.9500000000001</v>
      </c>
      <c r="AP215" s="22">
        <f>G215*(1-0.338537466533338)</f>
        <v>205.05999999999986</v>
      </c>
      <c r="AQ215" s="38" t="s">
        <v>13</v>
      </c>
      <c r="AV215" s="22">
        <f>AW215+AX215</f>
        <v>1240.04</v>
      </c>
      <c r="AW215" s="22">
        <f>F215*AO215</f>
        <v>419.80000000000041</v>
      </c>
      <c r="AX215" s="22">
        <f>F215*AP215</f>
        <v>820.23999999999944</v>
      </c>
      <c r="AY215" s="77" t="s">
        <v>909</v>
      </c>
      <c r="AZ215" s="77" t="s">
        <v>927</v>
      </c>
      <c r="BA215" s="34" t="s">
        <v>934</v>
      </c>
      <c r="BC215" s="22">
        <f>AW215+AX215</f>
        <v>1240.04</v>
      </c>
      <c r="BD215" s="22">
        <f>G215/(100-BE215)*100</f>
        <v>310.01</v>
      </c>
      <c r="BE215" s="22">
        <v>0</v>
      </c>
      <c r="BF215" s="22">
        <f>L215</f>
        <v>1.1999999999999999E-3</v>
      </c>
      <c r="BH215" s="5">
        <f>F215*AO215</f>
        <v>419.80000000000041</v>
      </c>
      <c r="BI215" s="5">
        <f>F215*AP215</f>
        <v>820.23999999999944</v>
      </c>
      <c r="BJ215" s="5">
        <f>F215*G215</f>
        <v>1240.04</v>
      </c>
    </row>
    <row r="216" spans="1:62">
      <c r="A216" s="1" t="s">
        <v>146</v>
      </c>
      <c r="B216" s="1" t="s">
        <v>658</v>
      </c>
      <c r="C216" s="1" t="s">
        <v>363</v>
      </c>
      <c r="D216" s="1" t="s">
        <v>573</v>
      </c>
      <c r="E216" s="1" t="s">
        <v>635</v>
      </c>
      <c r="F216" s="5">
        <f>'Rozpočet - vybrané sloupce'!AN179</f>
        <v>26.62</v>
      </c>
      <c r="G216" s="5">
        <f>'Rozpočet - vybrané sloupce'!AS179</f>
        <v>580</v>
      </c>
      <c r="H216" s="5">
        <f>F216*AO216</f>
        <v>6505.1294000000062</v>
      </c>
      <c r="I216" s="5">
        <f>F216*AP216</f>
        <v>8934.4705999999933</v>
      </c>
      <c r="J216" s="5">
        <f>F216*G216</f>
        <v>15439.6</v>
      </c>
      <c r="K216" s="5">
        <v>3.3700000000000002E-3</v>
      </c>
      <c r="L216" s="5">
        <f>F216*K216</f>
        <v>8.9709400000000009E-2</v>
      </c>
      <c r="M216" s="38" t="s">
        <v>653</v>
      </c>
      <c r="Z216" s="22">
        <f>IF(AQ216="5",BJ216,0)</f>
        <v>0</v>
      </c>
      <c r="AB216" s="22">
        <f>IF(AQ216="1",BH216,0)</f>
        <v>0</v>
      </c>
      <c r="AC216" s="22">
        <f>IF(AQ216="1",BI216,0)</f>
        <v>0</v>
      </c>
      <c r="AD216" s="22">
        <f>IF(AQ216="7",BH216,0)</f>
        <v>6505.1294000000062</v>
      </c>
      <c r="AE216" s="22">
        <f>IF(AQ216="7",BI216,0)</f>
        <v>8934.4705999999933</v>
      </c>
      <c r="AF216" s="22">
        <f>IF(AQ216="2",BH216,0)</f>
        <v>0</v>
      </c>
      <c r="AG216" s="22">
        <f>IF(AQ216="2",BI216,0)</f>
        <v>0</v>
      </c>
      <c r="AH216" s="22">
        <f>IF(AQ216="0",BJ216,0)</f>
        <v>0</v>
      </c>
      <c r="AI216" s="34" t="s">
        <v>658</v>
      </c>
      <c r="AJ216" s="5">
        <f>IF(AN216=0,J216,0)</f>
        <v>0</v>
      </c>
      <c r="AK216" s="5">
        <f>IF(AN216=15,J216,0)</f>
        <v>0</v>
      </c>
      <c r="AL216" s="5">
        <f>IF(AN216=21,J216,0)</f>
        <v>15439.6</v>
      </c>
      <c r="AN216" s="22">
        <v>21</v>
      </c>
      <c r="AO216" s="22">
        <f>G216*0.421327586206897</f>
        <v>244.37000000000023</v>
      </c>
      <c r="AP216" s="22">
        <f>G216*(1-0.421327586206897)</f>
        <v>335.62999999999971</v>
      </c>
      <c r="AQ216" s="38" t="s">
        <v>13</v>
      </c>
      <c r="AV216" s="22">
        <f>AW216+AX216</f>
        <v>15439.599999999999</v>
      </c>
      <c r="AW216" s="22">
        <f>F216*AO216</f>
        <v>6505.1294000000062</v>
      </c>
      <c r="AX216" s="22">
        <f>F216*AP216</f>
        <v>8934.4705999999933</v>
      </c>
      <c r="AY216" s="77" t="s">
        <v>909</v>
      </c>
      <c r="AZ216" s="77" t="s">
        <v>927</v>
      </c>
      <c r="BA216" s="34" t="s">
        <v>934</v>
      </c>
      <c r="BC216" s="22">
        <f>AW216+AX216</f>
        <v>15439.599999999999</v>
      </c>
      <c r="BD216" s="22">
        <f>G216/(100-BE216)*100</f>
        <v>580</v>
      </c>
      <c r="BE216" s="22">
        <v>0</v>
      </c>
      <c r="BF216" s="22">
        <f>L216</f>
        <v>8.9709400000000009E-2</v>
      </c>
      <c r="BH216" s="5">
        <f>F216*AO216</f>
        <v>6505.1294000000062</v>
      </c>
      <c r="BI216" s="5">
        <f>F216*AP216</f>
        <v>8934.4705999999933</v>
      </c>
      <c r="BJ216" s="5">
        <f>F216*G216</f>
        <v>15439.6</v>
      </c>
    </row>
    <row r="217" spans="1:62">
      <c r="C217" s="67" t="s">
        <v>672</v>
      </c>
      <c r="D217" s="167" t="s">
        <v>781</v>
      </c>
      <c r="E217" s="168"/>
      <c r="F217" s="168"/>
      <c r="G217" s="168"/>
      <c r="H217" s="168"/>
      <c r="I217" s="168"/>
      <c r="J217" s="168"/>
      <c r="K217" s="168"/>
      <c r="L217" s="168"/>
      <c r="M217" s="168"/>
    </row>
    <row r="218" spans="1:62">
      <c r="A218" s="1" t="s">
        <v>147</v>
      </c>
      <c r="B218" s="1" t="s">
        <v>658</v>
      </c>
      <c r="C218" s="1" t="s">
        <v>364</v>
      </c>
      <c r="D218" s="1" t="s">
        <v>574</v>
      </c>
      <c r="E218" s="1" t="s">
        <v>643</v>
      </c>
      <c r="F218" s="5">
        <f>'Rozpočet - vybrané sloupce'!AN180</f>
        <v>558.35090000000002</v>
      </c>
      <c r="G218" s="5">
        <f>'Rozpočet - vybrané sloupce'!AS180</f>
        <v>1.85</v>
      </c>
      <c r="H218" s="5">
        <f>F218*AO218</f>
        <v>0</v>
      </c>
      <c r="I218" s="5">
        <f>F218*AP218</f>
        <v>1032.949165</v>
      </c>
      <c r="J218" s="5">
        <f>F218*G218</f>
        <v>1032.949165</v>
      </c>
      <c r="K218" s="5">
        <v>0</v>
      </c>
      <c r="L218" s="5">
        <f>F218*K218</f>
        <v>0</v>
      </c>
      <c r="M218" s="38" t="s">
        <v>653</v>
      </c>
      <c r="Z218" s="22">
        <f>IF(AQ218="5",BJ218,0)</f>
        <v>1032.949165</v>
      </c>
      <c r="AB218" s="22">
        <f>IF(AQ218="1",BH218,0)</f>
        <v>0</v>
      </c>
      <c r="AC218" s="22">
        <f>IF(AQ218="1",BI218,0)</f>
        <v>0</v>
      </c>
      <c r="AD218" s="22">
        <f>IF(AQ218="7",BH218,0)</f>
        <v>0</v>
      </c>
      <c r="AE218" s="22">
        <f>IF(AQ218="7",BI218,0)</f>
        <v>0</v>
      </c>
      <c r="AF218" s="22">
        <f>IF(AQ218="2",BH218,0)</f>
        <v>0</v>
      </c>
      <c r="AG218" s="22">
        <f>IF(AQ218="2",BI218,0)</f>
        <v>0</v>
      </c>
      <c r="AH218" s="22">
        <f>IF(AQ218="0",BJ218,0)</f>
        <v>0</v>
      </c>
      <c r="AI218" s="34" t="s">
        <v>658</v>
      </c>
      <c r="AJ218" s="5">
        <f>IF(AN218=0,J218,0)</f>
        <v>0</v>
      </c>
      <c r="AK218" s="5">
        <f>IF(AN218=15,J218,0)</f>
        <v>0</v>
      </c>
      <c r="AL218" s="5">
        <f>IF(AN218=21,J218,0)</f>
        <v>1032.949165</v>
      </c>
      <c r="AN218" s="22">
        <v>21</v>
      </c>
      <c r="AO218" s="22">
        <f>G218*0</f>
        <v>0</v>
      </c>
      <c r="AP218" s="22">
        <f>G218*(1-0)</f>
        <v>1.85</v>
      </c>
      <c r="AQ218" s="38" t="s">
        <v>11</v>
      </c>
      <c r="AV218" s="22">
        <f>AW218+AX218</f>
        <v>1032.949165</v>
      </c>
      <c r="AW218" s="22">
        <f>F218*AO218</f>
        <v>0</v>
      </c>
      <c r="AX218" s="22">
        <f>F218*AP218</f>
        <v>1032.949165</v>
      </c>
      <c r="AY218" s="77" t="s">
        <v>909</v>
      </c>
      <c r="AZ218" s="77" t="s">
        <v>927</v>
      </c>
      <c r="BA218" s="34" t="s">
        <v>934</v>
      </c>
      <c r="BC218" s="22">
        <f>AW218+AX218</f>
        <v>1032.949165</v>
      </c>
      <c r="BD218" s="22">
        <f>G218/(100-BE218)*100</f>
        <v>1.8500000000000003</v>
      </c>
      <c r="BE218" s="22">
        <v>0</v>
      </c>
      <c r="BF218" s="22">
        <f>L218</f>
        <v>0</v>
      </c>
      <c r="BH218" s="5">
        <f>F218*AO218</f>
        <v>0</v>
      </c>
      <c r="BI218" s="5">
        <f>F218*AP218</f>
        <v>1032.949165</v>
      </c>
      <c r="BJ218" s="5">
        <f>F218*G218</f>
        <v>1032.949165</v>
      </c>
    </row>
    <row r="219" spans="1:62">
      <c r="A219" s="59"/>
      <c r="B219" s="28" t="s">
        <v>658</v>
      </c>
      <c r="C219" s="28" t="s">
        <v>365</v>
      </c>
      <c r="D219" s="28" t="s">
        <v>575</v>
      </c>
      <c r="E219" s="59" t="s">
        <v>6</v>
      </c>
      <c r="F219" s="59" t="s">
        <v>6</v>
      </c>
      <c r="G219" s="59" t="s">
        <v>6</v>
      </c>
      <c r="H219" s="8">
        <f>SUM(H220:H228)</f>
        <v>34642.636972478933</v>
      </c>
      <c r="I219" s="8">
        <f>SUM(I220:I228)</f>
        <v>28252.949260521076</v>
      </c>
      <c r="J219" s="8">
        <f>SUM(J220:J228)</f>
        <v>62895.586233000009</v>
      </c>
      <c r="K219" s="34"/>
      <c r="L219" s="8">
        <f>SUM(L220:L228)</f>
        <v>1.1488731000000001</v>
      </c>
      <c r="M219" s="34"/>
      <c r="AI219" s="34" t="s">
        <v>658</v>
      </c>
      <c r="AS219" s="8">
        <f>SUM(AJ220:AJ228)</f>
        <v>0</v>
      </c>
      <c r="AT219" s="8">
        <f>SUM(AK220:AK228)</f>
        <v>0</v>
      </c>
      <c r="AU219" s="8">
        <f>SUM(AL220:AL228)</f>
        <v>62895.586233000009</v>
      </c>
    </row>
    <row r="220" spans="1:62">
      <c r="A220" s="1" t="s">
        <v>148</v>
      </c>
      <c r="B220" s="1" t="s">
        <v>658</v>
      </c>
      <c r="C220" s="1" t="s">
        <v>366</v>
      </c>
      <c r="D220" s="1" t="s">
        <v>576</v>
      </c>
      <c r="E220" s="1" t="s">
        <v>636</v>
      </c>
      <c r="F220" s="5">
        <f>'Rozpočet - vybrané sloupce'!AN182</f>
        <v>43.892000000000003</v>
      </c>
      <c r="G220" s="5">
        <f>'Rozpočet - vybrané sloupce'!AS182</f>
        <v>186.5</v>
      </c>
      <c r="H220" s="5">
        <f>F220*AO220</f>
        <v>0</v>
      </c>
      <c r="I220" s="5">
        <f>F220*AP220</f>
        <v>8185.8580000000002</v>
      </c>
      <c r="J220" s="5">
        <f>F220*G220</f>
        <v>8185.8580000000002</v>
      </c>
      <c r="K220" s="5">
        <v>0</v>
      </c>
      <c r="L220" s="5">
        <f>F220*K220</f>
        <v>0</v>
      </c>
      <c r="M220" s="38" t="s">
        <v>653</v>
      </c>
      <c r="Z220" s="22">
        <f>IF(AQ220="5",BJ220,0)</f>
        <v>0</v>
      </c>
      <c r="AB220" s="22">
        <f>IF(AQ220="1",BH220,0)</f>
        <v>0</v>
      </c>
      <c r="AC220" s="22">
        <f>IF(AQ220="1",BI220,0)</f>
        <v>0</v>
      </c>
      <c r="AD220" s="22">
        <f>IF(AQ220="7",BH220,0)</f>
        <v>0</v>
      </c>
      <c r="AE220" s="22">
        <f>IF(AQ220="7",BI220,0)</f>
        <v>8185.8580000000002</v>
      </c>
      <c r="AF220" s="22">
        <f>IF(AQ220="2",BH220,0)</f>
        <v>0</v>
      </c>
      <c r="AG220" s="22">
        <f>IF(AQ220="2",BI220,0)</f>
        <v>0</v>
      </c>
      <c r="AH220" s="22">
        <f>IF(AQ220="0",BJ220,0)</f>
        <v>0</v>
      </c>
      <c r="AI220" s="34" t="s">
        <v>658</v>
      </c>
      <c r="AJ220" s="5">
        <f>IF(AN220=0,J220,0)</f>
        <v>0</v>
      </c>
      <c r="AK220" s="5">
        <f>IF(AN220=15,J220,0)</f>
        <v>0</v>
      </c>
      <c r="AL220" s="5">
        <f>IF(AN220=21,J220,0)</f>
        <v>8185.8580000000002</v>
      </c>
      <c r="AN220" s="22">
        <v>21</v>
      </c>
      <c r="AO220" s="22">
        <f>G220*0</f>
        <v>0</v>
      </c>
      <c r="AP220" s="22">
        <f>G220*(1-0)</f>
        <v>186.5</v>
      </c>
      <c r="AQ220" s="38" t="s">
        <v>13</v>
      </c>
      <c r="AV220" s="22">
        <f>AW220+AX220</f>
        <v>8185.8580000000002</v>
      </c>
      <c r="AW220" s="22">
        <f>F220*AO220</f>
        <v>0</v>
      </c>
      <c r="AX220" s="22">
        <f>F220*AP220</f>
        <v>8185.8580000000002</v>
      </c>
      <c r="AY220" s="77" t="s">
        <v>910</v>
      </c>
      <c r="AZ220" s="77" t="s">
        <v>927</v>
      </c>
      <c r="BA220" s="34" t="s">
        <v>934</v>
      </c>
      <c r="BC220" s="22">
        <f>AW220+AX220</f>
        <v>8185.8580000000002</v>
      </c>
      <c r="BD220" s="22">
        <f>G220/(100-BE220)*100</f>
        <v>186.5</v>
      </c>
      <c r="BE220" s="22">
        <v>0</v>
      </c>
      <c r="BF220" s="22">
        <f>L220</f>
        <v>0</v>
      </c>
      <c r="BH220" s="5">
        <f>F220*AO220</f>
        <v>0</v>
      </c>
      <c r="BI220" s="5">
        <f>F220*AP220</f>
        <v>8185.8580000000002</v>
      </c>
      <c r="BJ220" s="5">
        <f>F220*G220</f>
        <v>8185.8580000000002</v>
      </c>
    </row>
    <row r="221" spans="1:62" ht="25.7" customHeight="1">
      <c r="C221" s="67" t="s">
        <v>672</v>
      </c>
      <c r="D221" s="167" t="s">
        <v>782</v>
      </c>
      <c r="E221" s="168"/>
      <c r="F221" s="168"/>
      <c r="G221" s="168"/>
      <c r="H221" s="168"/>
      <c r="I221" s="168"/>
      <c r="J221" s="168"/>
      <c r="K221" s="168"/>
      <c r="L221" s="168"/>
      <c r="M221" s="168"/>
    </row>
    <row r="222" spans="1:62">
      <c r="A222" s="2" t="s">
        <v>149</v>
      </c>
      <c r="B222" s="2" t="s">
        <v>658</v>
      </c>
      <c r="C222" s="2" t="s">
        <v>367</v>
      </c>
      <c r="D222" s="2" t="s">
        <v>577</v>
      </c>
      <c r="E222" s="2" t="s">
        <v>638</v>
      </c>
      <c r="F222" s="6">
        <f>'Rozpočet - vybrané sloupce'!AN183</f>
        <v>1.20703</v>
      </c>
      <c r="G222" s="6">
        <f>'Rozpočet - vybrané sloupce'!AS183</f>
        <v>13264</v>
      </c>
      <c r="H222" s="6">
        <f>F222*AO222</f>
        <v>16010.04592</v>
      </c>
      <c r="I222" s="6">
        <f>F222*AP222</f>
        <v>0</v>
      </c>
      <c r="J222" s="6">
        <f>F222*G222</f>
        <v>16010.04592</v>
      </c>
      <c r="K222" s="6">
        <v>0.55000000000000004</v>
      </c>
      <c r="L222" s="6">
        <f>F222*K222</f>
        <v>0.66386650000000003</v>
      </c>
      <c r="M222" s="39" t="s">
        <v>653</v>
      </c>
      <c r="Z222" s="22">
        <f>IF(AQ222="5",BJ222,0)</f>
        <v>0</v>
      </c>
      <c r="AB222" s="22">
        <f>IF(AQ222="1",BH222,0)</f>
        <v>0</v>
      </c>
      <c r="AC222" s="22">
        <f>IF(AQ222="1",BI222,0)</f>
        <v>0</v>
      </c>
      <c r="AD222" s="22">
        <f>IF(AQ222="7",BH222,0)</f>
        <v>16010.04592</v>
      </c>
      <c r="AE222" s="22">
        <f>IF(AQ222="7",BI222,0)</f>
        <v>0</v>
      </c>
      <c r="AF222" s="22">
        <f>IF(AQ222="2",BH222,0)</f>
        <v>0</v>
      </c>
      <c r="AG222" s="22">
        <f>IF(AQ222="2",BI222,0)</f>
        <v>0</v>
      </c>
      <c r="AH222" s="22">
        <f>IF(AQ222="0",BJ222,0)</f>
        <v>0</v>
      </c>
      <c r="AI222" s="34" t="s">
        <v>658</v>
      </c>
      <c r="AJ222" s="6">
        <f>IF(AN222=0,J222,0)</f>
        <v>0</v>
      </c>
      <c r="AK222" s="6">
        <f>IF(AN222=15,J222,0)</f>
        <v>0</v>
      </c>
      <c r="AL222" s="6">
        <f>IF(AN222=21,J222,0)</f>
        <v>16010.04592</v>
      </c>
      <c r="AN222" s="22">
        <v>21</v>
      </c>
      <c r="AO222" s="22">
        <f>G222*1</f>
        <v>13264</v>
      </c>
      <c r="AP222" s="22">
        <f>G222*(1-1)</f>
        <v>0</v>
      </c>
      <c r="AQ222" s="39" t="s">
        <v>13</v>
      </c>
      <c r="AV222" s="22">
        <f>AW222+AX222</f>
        <v>16010.04592</v>
      </c>
      <c r="AW222" s="22">
        <f>F222*AO222</f>
        <v>16010.04592</v>
      </c>
      <c r="AX222" s="22">
        <f>F222*AP222</f>
        <v>0</v>
      </c>
      <c r="AY222" s="77" t="s">
        <v>910</v>
      </c>
      <c r="AZ222" s="77" t="s">
        <v>927</v>
      </c>
      <c r="BA222" s="34" t="s">
        <v>934</v>
      </c>
      <c r="BC222" s="22">
        <f>AW222+AX222</f>
        <v>16010.04592</v>
      </c>
      <c r="BD222" s="22">
        <f>G222/(100-BE222)*100</f>
        <v>13263.999999999998</v>
      </c>
      <c r="BE222" s="22">
        <v>0</v>
      </c>
      <c r="BF222" s="22">
        <f>L222</f>
        <v>0.66386650000000003</v>
      </c>
      <c r="BH222" s="6">
        <f>F222*AO222</f>
        <v>16010.04592</v>
      </c>
      <c r="BI222" s="6">
        <f>F222*AP222</f>
        <v>0</v>
      </c>
      <c r="BJ222" s="6">
        <f>F222*G222</f>
        <v>16010.04592</v>
      </c>
    </row>
    <row r="223" spans="1:62">
      <c r="A223" s="1" t="s">
        <v>150</v>
      </c>
      <c r="B223" s="1" t="s">
        <v>658</v>
      </c>
      <c r="C223" s="1" t="s">
        <v>368</v>
      </c>
      <c r="D223" s="1" t="s">
        <v>578</v>
      </c>
      <c r="E223" s="1" t="s">
        <v>636</v>
      </c>
      <c r="F223" s="5">
        <f>'Rozpočet - vybrané sloupce'!AN184</f>
        <v>43.892000000000003</v>
      </c>
      <c r="G223" s="5">
        <f>'Rozpočet - vybrané sloupce'!AS184</f>
        <v>82.69</v>
      </c>
      <c r="H223" s="5">
        <f>F223*AO223</f>
        <v>1146.8977956802762</v>
      </c>
      <c r="I223" s="5">
        <f>F223*AP223</f>
        <v>2482.5316843197243</v>
      </c>
      <c r="J223" s="5">
        <f>F223*G223</f>
        <v>3629.4294800000002</v>
      </c>
      <c r="K223" s="5">
        <v>1.8000000000000001E-4</v>
      </c>
      <c r="L223" s="5">
        <f>F223*K223</f>
        <v>7.9005600000000009E-3</v>
      </c>
      <c r="M223" s="38" t="s">
        <v>653</v>
      </c>
      <c r="Z223" s="22">
        <f>IF(AQ223="5",BJ223,0)</f>
        <v>0</v>
      </c>
      <c r="AB223" s="22">
        <f>IF(AQ223="1",BH223,0)</f>
        <v>0</v>
      </c>
      <c r="AC223" s="22">
        <f>IF(AQ223="1",BI223,0)</f>
        <v>0</v>
      </c>
      <c r="AD223" s="22">
        <f>IF(AQ223="7",BH223,0)</f>
        <v>1146.8977956802762</v>
      </c>
      <c r="AE223" s="22">
        <f>IF(AQ223="7",BI223,0)</f>
        <v>2482.5316843197243</v>
      </c>
      <c r="AF223" s="22">
        <f>IF(AQ223="2",BH223,0)</f>
        <v>0</v>
      </c>
      <c r="AG223" s="22">
        <f>IF(AQ223="2",BI223,0)</f>
        <v>0</v>
      </c>
      <c r="AH223" s="22">
        <f>IF(AQ223="0",BJ223,0)</f>
        <v>0</v>
      </c>
      <c r="AI223" s="34" t="s">
        <v>658</v>
      </c>
      <c r="AJ223" s="5">
        <f>IF(AN223=0,J223,0)</f>
        <v>0</v>
      </c>
      <c r="AK223" s="5">
        <f>IF(AN223=15,J223,0)</f>
        <v>0</v>
      </c>
      <c r="AL223" s="5">
        <f>IF(AN223=21,J223,0)</f>
        <v>3629.4294800000002</v>
      </c>
      <c r="AN223" s="22">
        <v>21</v>
      </c>
      <c r="AO223" s="22">
        <f>G223*0.315999470991313</f>
        <v>26.129996256271671</v>
      </c>
      <c r="AP223" s="22">
        <f>G223*(1-0.315999470991313)</f>
        <v>56.560003743728331</v>
      </c>
      <c r="AQ223" s="38" t="s">
        <v>13</v>
      </c>
      <c r="AV223" s="22">
        <f>AW223+AX223</f>
        <v>3629.4294800000007</v>
      </c>
      <c r="AW223" s="22">
        <f>F223*AO223</f>
        <v>1146.8977956802762</v>
      </c>
      <c r="AX223" s="22">
        <f>F223*AP223</f>
        <v>2482.5316843197243</v>
      </c>
      <c r="AY223" s="77" t="s">
        <v>910</v>
      </c>
      <c r="AZ223" s="77" t="s">
        <v>927</v>
      </c>
      <c r="BA223" s="34" t="s">
        <v>934</v>
      </c>
      <c r="BC223" s="22">
        <f>AW223+AX223</f>
        <v>3629.4294800000007</v>
      </c>
      <c r="BD223" s="22">
        <f>G223/(100-BE223)*100</f>
        <v>82.69</v>
      </c>
      <c r="BE223" s="22">
        <v>0</v>
      </c>
      <c r="BF223" s="22">
        <f>L223</f>
        <v>7.9005600000000009E-3</v>
      </c>
      <c r="BH223" s="5">
        <f>F223*AO223</f>
        <v>1146.8977956802762</v>
      </c>
      <c r="BI223" s="5">
        <f>F223*AP223</f>
        <v>2482.5316843197243</v>
      </c>
      <c r="BJ223" s="5">
        <f>F223*G223</f>
        <v>3629.4294800000002</v>
      </c>
    </row>
    <row r="224" spans="1:62">
      <c r="C224" s="67" t="s">
        <v>672</v>
      </c>
      <c r="D224" s="167" t="s">
        <v>784</v>
      </c>
      <c r="E224" s="168"/>
      <c r="F224" s="168"/>
      <c r="G224" s="168"/>
      <c r="H224" s="168"/>
      <c r="I224" s="168"/>
      <c r="J224" s="168"/>
      <c r="K224" s="168"/>
      <c r="L224" s="168"/>
      <c r="M224" s="168"/>
    </row>
    <row r="225" spans="1:62">
      <c r="A225" s="1" t="s">
        <v>151</v>
      </c>
      <c r="B225" s="1" t="s">
        <v>658</v>
      </c>
      <c r="C225" s="1" t="s">
        <v>369</v>
      </c>
      <c r="D225" s="1" t="s">
        <v>579</v>
      </c>
      <c r="E225" s="1" t="s">
        <v>636</v>
      </c>
      <c r="F225" s="5">
        <f>'Rozpočet - vybrané sloupce'!AN185</f>
        <v>43.892000000000003</v>
      </c>
      <c r="G225" s="5">
        <f>'Rozpočet - vybrané sloupce'!AS185</f>
        <v>682.99</v>
      </c>
      <c r="H225" s="5">
        <f>F225*AO225</f>
        <v>17485.693256798655</v>
      </c>
      <c r="I225" s="5">
        <f>F225*AP225</f>
        <v>12492.103823201347</v>
      </c>
      <c r="J225" s="5">
        <f>F225*G225</f>
        <v>29977.797080000004</v>
      </c>
      <c r="K225" s="5">
        <v>1.0869999999999999E-2</v>
      </c>
      <c r="L225" s="5">
        <f>F225*K225</f>
        <v>0.47710604000000001</v>
      </c>
      <c r="M225" s="38" t="s">
        <v>653</v>
      </c>
      <c r="Z225" s="22">
        <f>IF(AQ225="5",BJ225,0)</f>
        <v>0</v>
      </c>
      <c r="AB225" s="22">
        <f>IF(AQ225="1",BH225,0)</f>
        <v>0</v>
      </c>
      <c r="AC225" s="22">
        <f>IF(AQ225="1",BI225,0)</f>
        <v>0</v>
      </c>
      <c r="AD225" s="22">
        <f>IF(AQ225="7",BH225,0)</f>
        <v>17485.693256798655</v>
      </c>
      <c r="AE225" s="22">
        <f>IF(AQ225="7",BI225,0)</f>
        <v>12492.103823201347</v>
      </c>
      <c r="AF225" s="22">
        <f>IF(AQ225="2",BH225,0)</f>
        <v>0</v>
      </c>
      <c r="AG225" s="22">
        <f>IF(AQ225="2",BI225,0)</f>
        <v>0</v>
      </c>
      <c r="AH225" s="22">
        <f>IF(AQ225="0",BJ225,0)</f>
        <v>0</v>
      </c>
      <c r="AI225" s="34" t="s">
        <v>658</v>
      </c>
      <c r="AJ225" s="5">
        <f>IF(AN225=0,J225,0)</f>
        <v>0</v>
      </c>
      <c r="AK225" s="5">
        <f>IF(AN225=15,J225,0)</f>
        <v>0</v>
      </c>
      <c r="AL225" s="5">
        <f>IF(AN225=21,J225,0)</f>
        <v>29977.797080000004</v>
      </c>
      <c r="AN225" s="22">
        <v>21</v>
      </c>
      <c r="AO225" s="22">
        <f>G225*0.583288131884261</f>
        <v>398.37996119563144</v>
      </c>
      <c r="AP225" s="22">
        <f>G225*(1-0.583288131884261)</f>
        <v>284.61003880436857</v>
      </c>
      <c r="AQ225" s="38" t="s">
        <v>13</v>
      </c>
      <c r="AV225" s="22">
        <f>AW225+AX225</f>
        <v>29977.797080000004</v>
      </c>
      <c r="AW225" s="22">
        <f>F225*AO225</f>
        <v>17485.693256798655</v>
      </c>
      <c r="AX225" s="22">
        <f>F225*AP225</f>
        <v>12492.103823201347</v>
      </c>
      <c r="AY225" s="77" t="s">
        <v>910</v>
      </c>
      <c r="AZ225" s="77" t="s">
        <v>927</v>
      </c>
      <c r="BA225" s="34" t="s">
        <v>934</v>
      </c>
      <c r="BC225" s="22">
        <f>AW225+AX225</f>
        <v>29977.797080000004</v>
      </c>
      <c r="BD225" s="22">
        <f>G225/(100-BE225)*100</f>
        <v>682.99</v>
      </c>
      <c r="BE225" s="22">
        <v>0</v>
      </c>
      <c r="BF225" s="22">
        <f>L225</f>
        <v>0.47710604000000001</v>
      </c>
      <c r="BH225" s="5">
        <f>F225*AO225</f>
        <v>17485.693256798655</v>
      </c>
      <c r="BI225" s="5">
        <f>F225*AP225</f>
        <v>12492.103823201347</v>
      </c>
      <c r="BJ225" s="5">
        <f>F225*G225</f>
        <v>29977.797080000004</v>
      </c>
    </row>
    <row r="226" spans="1:62">
      <c r="D226" s="3" t="s">
        <v>580</v>
      </c>
    </row>
    <row r="227" spans="1:62">
      <c r="C227" s="67" t="s">
        <v>672</v>
      </c>
      <c r="D227" s="167" t="s">
        <v>785</v>
      </c>
      <c r="E227" s="168"/>
      <c r="F227" s="168"/>
      <c r="G227" s="168"/>
      <c r="H227" s="168"/>
      <c r="I227" s="168"/>
      <c r="J227" s="168"/>
      <c r="K227" s="168"/>
      <c r="L227" s="168"/>
      <c r="M227" s="168"/>
    </row>
    <row r="228" spans="1:62">
      <c r="A228" s="1" t="s">
        <v>152</v>
      </c>
      <c r="B228" s="1" t="s">
        <v>658</v>
      </c>
      <c r="C228" s="1" t="s">
        <v>370</v>
      </c>
      <c r="D228" s="1" t="s">
        <v>581</v>
      </c>
      <c r="E228" s="1" t="s">
        <v>643</v>
      </c>
      <c r="F228" s="5">
        <f>'Rozpočet - vybrané sloupce'!AN187</f>
        <v>578.03129999999999</v>
      </c>
      <c r="G228" s="5">
        <f>'Rozpočet - vybrané sloupce'!AS187</f>
        <v>8.81</v>
      </c>
      <c r="H228" s="5">
        <f>F228*AO228</f>
        <v>0</v>
      </c>
      <c r="I228" s="5">
        <f>F228*AP228</f>
        <v>5092.4557530000002</v>
      </c>
      <c r="J228" s="5">
        <f>F228*G228</f>
        <v>5092.4557530000002</v>
      </c>
      <c r="K228" s="5">
        <v>0</v>
      </c>
      <c r="L228" s="5">
        <f>F228*K228</f>
        <v>0</v>
      </c>
      <c r="M228" s="38" t="s">
        <v>653</v>
      </c>
      <c r="Z228" s="22">
        <f>IF(AQ228="5",BJ228,0)</f>
        <v>5092.4557530000002</v>
      </c>
      <c r="AB228" s="22">
        <f>IF(AQ228="1",BH228,0)</f>
        <v>0</v>
      </c>
      <c r="AC228" s="22">
        <f>IF(AQ228="1",BI228,0)</f>
        <v>0</v>
      </c>
      <c r="AD228" s="22">
        <f>IF(AQ228="7",BH228,0)</f>
        <v>0</v>
      </c>
      <c r="AE228" s="22">
        <f>IF(AQ228="7",BI228,0)</f>
        <v>0</v>
      </c>
      <c r="AF228" s="22">
        <f>IF(AQ228="2",BH228,0)</f>
        <v>0</v>
      </c>
      <c r="AG228" s="22">
        <f>IF(AQ228="2",BI228,0)</f>
        <v>0</v>
      </c>
      <c r="AH228" s="22">
        <f>IF(AQ228="0",BJ228,0)</f>
        <v>0</v>
      </c>
      <c r="AI228" s="34" t="s">
        <v>658</v>
      </c>
      <c r="AJ228" s="5">
        <f>IF(AN228=0,J228,0)</f>
        <v>0</v>
      </c>
      <c r="AK228" s="5">
        <f>IF(AN228=15,J228,0)</f>
        <v>0</v>
      </c>
      <c r="AL228" s="5">
        <f>IF(AN228=21,J228,0)</f>
        <v>5092.4557530000002</v>
      </c>
      <c r="AN228" s="22">
        <v>21</v>
      </c>
      <c r="AO228" s="22">
        <f>G228*0</f>
        <v>0</v>
      </c>
      <c r="AP228" s="22">
        <f>G228*(1-0)</f>
        <v>8.81</v>
      </c>
      <c r="AQ228" s="38" t="s">
        <v>11</v>
      </c>
      <c r="AV228" s="22">
        <f>AW228+AX228</f>
        <v>5092.4557530000002</v>
      </c>
      <c r="AW228" s="22">
        <f>F228*AO228</f>
        <v>0</v>
      </c>
      <c r="AX228" s="22">
        <f>F228*AP228</f>
        <v>5092.4557530000002</v>
      </c>
      <c r="AY228" s="77" t="s">
        <v>910</v>
      </c>
      <c r="AZ228" s="77" t="s">
        <v>927</v>
      </c>
      <c r="BA228" s="34" t="s">
        <v>934</v>
      </c>
      <c r="BC228" s="22">
        <f>AW228+AX228</f>
        <v>5092.4557530000002</v>
      </c>
      <c r="BD228" s="22">
        <f>G228/(100-BE228)*100</f>
        <v>8.81</v>
      </c>
      <c r="BE228" s="22">
        <v>0</v>
      </c>
      <c r="BF228" s="22">
        <f>L228</f>
        <v>0</v>
      </c>
      <c r="BH228" s="5">
        <f>F228*AO228</f>
        <v>0</v>
      </c>
      <c r="BI228" s="5">
        <f>F228*AP228</f>
        <v>5092.4557530000002</v>
      </c>
      <c r="BJ228" s="5">
        <f>F228*G228</f>
        <v>5092.4557530000002</v>
      </c>
    </row>
    <row r="229" spans="1:62">
      <c r="A229" s="59"/>
      <c r="B229" s="28" t="s">
        <v>658</v>
      </c>
      <c r="C229" s="28" t="s">
        <v>371</v>
      </c>
      <c r="D229" s="28" t="s">
        <v>582</v>
      </c>
      <c r="E229" s="59" t="s">
        <v>6</v>
      </c>
      <c r="F229" s="59" t="s">
        <v>6</v>
      </c>
      <c r="G229" s="59" t="s">
        <v>6</v>
      </c>
      <c r="H229" s="8">
        <f>SUM(H230:H252)</f>
        <v>187541.56695586059</v>
      </c>
      <c r="I229" s="8">
        <f>SUM(I230:I252)</f>
        <v>63455.780182639377</v>
      </c>
      <c r="J229" s="8">
        <f>SUM(J230:J252)</f>
        <v>250997.34713849999</v>
      </c>
      <c r="K229" s="34"/>
      <c r="L229" s="8">
        <f>SUM(L230:L252)</f>
        <v>1.6238376699999999</v>
      </c>
      <c r="M229" s="34"/>
      <c r="AI229" s="34" t="s">
        <v>658</v>
      </c>
      <c r="AS229" s="8">
        <f>SUM(AJ230:AJ252)</f>
        <v>0</v>
      </c>
      <c r="AT229" s="8">
        <f>SUM(AK230:AK252)</f>
        <v>0</v>
      </c>
      <c r="AU229" s="8">
        <f>SUM(AL230:AL252)</f>
        <v>250997.34713849999</v>
      </c>
    </row>
    <row r="230" spans="1:62">
      <c r="A230" s="1" t="s">
        <v>153</v>
      </c>
      <c r="B230" s="1" t="s">
        <v>658</v>
      </c>
      <c r="C230" s="1" t="s">
        <v>372</v>
      </c>
      <c r="D230" s="1" t="s">
        <v>583</v>
      </c>
      <c r="E230" s="1" t="s">
        <v>634</v>
      </c>
      <c r="F230" s="5">
        <f>'Rozpočet - vybrané sloupce'!AN189</f>
        <v>8</v>
      </c>
      <c r="G230" s="5">
        <f>'Rozpočet - vybrané sloupce'!AS189</f>
        <v>9307</v>
      </c>
      <c r="H230" s="5">
        <f>F230*AO230</f>
        <v>74456</v>
      </c>
      <c r="I230" s="5">
        <f>F230*AP230</f>
        <v>0</v>
      </c>
      <c r="J230" s="5">
        <f>F230*G230</f>
        <v>74456</v>
      </c>
      <c r="K230" s="5">
        <v>1.7000000000000001E-4</v>
      </c>
      <c r="L230" s="5">
        <f>F230*K230</f>
        <v>1.3600000000000001E-3</v>
      </c>
      <c r="M230" s="38" t="s">
        <v>653</v>
      </c>
      <c r="Z230" s="22">
        <f>IF(AQ230="5",BJ230,0)</f>
        <v>0</v>
      </c>
      <c r="AB230" s="22">
        <f>IF(AQ230="1",BH230,0)</f>
        <v>0</v>
      </c>
      <c r="AC230" s="22">
        <f>IF(AQ230="1",BI230,0)</f>
        <v>0</v>
      </c>
      <c r="AD230" s="22">
        <f>IF(AQ230="7",BH230,0)</f>
        <v>74456</v>
      </c>
      <c r="AE230" s="22">
        <f>IF(AQ230="7",BI230,0)</f>
        <v>0</v>
      </c>
      <c r="AF230" s="22">
        <f>IF(AQ230="2",BH230,0)</f>
        <v>0</v>
      </c>
      <c r="AG230" s="22">
        <f>IF(AQ230="2",BI230,0)</f>
        <v>0</v>
      </c>
      <c r="AH230" s="22">
        <f>IF(AQ230="0",BJ230,0)</f>
        <v>0</v>
      </c>
      <c r="AI230" s="34" t="s">
        <v>658</v>
      </c>
      <c r="AJ230" s="5">
        <f>IF(AN230=0,J230,0)</f>
        <v>0</v>
      </c>
      <c r="AK230" s="5">
        <f>IF(AN230=15,J230,0)</f>
        <v>0</v>
      </c>
      <c r="AL230" s="5">
        <f>IF(AN230=21,J230,0)</f>
        <v>74456</v>
      </c>
      <c r="AN230" s="22">
        <v>21</v>
      </c>
      <c r="AO230" s="22">
        <f>G230*1</f>
        <v>9307</v>
      </c>
      <c r="AP230" s="22">
        <f>G230*(1-1)</f>
        <v>0</v>
      </c>
      <c r="AQ230" s="38" t="s">
        <v>13</v>
      </c>
      <c r="AV230" s="22">
        <f>AW230+AX230</f>
        <v>74456</v>
      </c>
      <c r="AW230" s="22">
        <f>F230*AO230</f>
        <v>74456</v>
      </c>
      <c r="AX230" s="22">
        <f>F230*AP230</f>
        <v>0</v>
      </c>
      <c r="AY230" s="77" t="s">
        <v>911</v>
      </c>
      <c r="AZ230" s="77" t="s">
        <v>927</v>
      </c>
      <c r="BA230" s="34" t="s">
        <v>934</v>
      </c>
      <c r="BC230" s="22">
        <f>AW230+AX230</f>
        <v>74456</v>
      </c>
      <c r="BD230" s="22">
        <f>G230/(100-BE230)*100</f>
        <v>9307</v>
      </c>
      <c r="BE230" s="22">
        <v>0</v>
      </c>
      <c r="BF230" s="22">
        <f>L230</f>
        <v>1.3600000000000001E-3</v>
      </c>
      <c r="BH230" s="5">
        <f>F230*AO230</f>
        <v>74456</v>
      </c>
      <c r="BI230" s="5">
        <f>F230*AP230</f>
        <v>0</v>
      </c>
      <c r="BJ230" s="5">
        <f>F230*G230</f>
        <v>74456</v>
      </c>
    </row>
    <row r="231" spans="1:62">
      <c r="C231" s="66" t="s">
        <v>660</v>
      </c>
      <c r="D231" s="175" t="s">
        <v>786</v>
      </c>
      <c r="E231" s="176"/>
      <c r="F231" s="176"/>
      <c r="G231" s="176"/>
      <c r="H231" s="176"/>
      <c r="I231" s="176"/>
      <c r="J231" s="176"/>
      <c r="K231" s="176"/>
      <c r="L231" s="176"/>
      <c r="M231" s="176"/>
    </row>
    <row r="232" spans="1:62">
      <c r="A232" s="1" t="s">
        <v>154</v>
      </c>
      <c r="B232" s="1" t="s">
        <v>658</v>
      </c>
      <c r="C232" s="1" t="s">
        <v>373</v>
      </c>
      <c r="D232" s="1" t="s">
        <v>584</v>
      </c>
      <c r="E232" s="1" t="s">
        <v>634</v>
      </c>
      <c r="F232" s="5">
        <f>'Rozpočet - vybrané sloupce'!AN190</f>
        <v>2</v>
      </c>
      <c r="G232" s="5">
        <f>'Rozpočet - vybrané sloupce'!AS190</f>
        <v>5476.46</v>
      </c>
      <c r="H232" s="5">
        <f>F232*AO232</f>
        <v>10952.92</v>
      </c>
      <c r="I232" s="5">
        <f>F232*AP232</f>
        <v>0</v>
      </c>
      <c r="J232" s="5">
        <f>F232*G232</f>
        <v>10952.92</v>
      </c>
      <c r="K232" s="5">
        <v>1.7000000000000001E-4</v>
      </c>
      <c r="L232" s="5">
        <f>F232*K232</f>
        <v>3.4000000000000002E-4</v>
      </c>
      <c r="M232" s="38" t="s">
        <v>653</v>
      </c>
      <c r="Z232" s="22">
        <f>IF(AQ232="5",BJ232,0)</f>
        <v>0</v>
      </c>
      <c r="AB232" s="22">
        <f>IF(AQ232="1",BH232,0)</f>
        <v>0</v>
      </c>
      <c r="AC232" s="22">
        <f>IF(AQ232="1",BI232,0)</f>
        <v>0</v>
      </c>
      <c r="AD232" s="22">
        <f>IF(AQ232="7",BH232,0)</f>
        <v>10952.92</v>
      </c>
      <c r="AE232" s="22">
        <f>IF(AQ232="7",BI232,0)</f>
        <v>0</v>
      </c>
      <c r="AF232" s="22">
        <f>IF(AQ232="2",BH232,0)</f>
        <v>0</v>
      </c>
      <c r="AG232" s="22">
        <f>IF(AQ232="2",BI232,0)</f>
        <v>0</v>
      </c>
      <c r="AH232" s="22">
        <f>IF(AQ232="0",BJ232,0)</f>
        <v>0</v>
      </c>
      <c r="AI232" s="34" t="s">
        <v>658</v>
      </c>
      <c r="AJ232" s="5">
        <f>IF(AN232=0,J232,0)</f>
        <v>0</v>
      </c>
      <c r="AK232" s="5">
        <f>IF(AN232=15,J232,0)</f>
        <v>0</v>
      </c>
      <c r="AL232" s="5">
        <f>IF(AN232=21,J232,0)</f>
        <v>10952.92</v>
      </c>
      <c r="AN232" s="22">
        <v>21</v>
      </c>
      <c r="AO232" s="22">
        <f>G232*1</f>
        <v>5476.46</v>
      </c>
      <c r="AP232" s="22">
        <f>G232*(1-1)</f>
        <v>0</v>
      </c>
      <c r="AQ232" s="38" t="s">
        <v>13</v>
      </c>
      <c r="AV232" s="22">
        <f>AW232+AX232</f>
        <v>10952.92</v>
      </c>
      <c r="AW232" s="22">
        <f>F232*AO232</f>
        <v>10952.92</v>
      </c>
      <c r="AX232" s="22">
        <f>F232*AP232</f>
        <v>0</v>
      </c>
      <c r="AY232" s="77" t="s">
        <v>911</v>
      </c>
      <c r="AZ232" s="77" t="s">
        <v>927</v>
      </c>
      <c r="BA232" s="34" t="s">
        <v>934</v>
      </c>
      <c r="BC232" s="22">
        <f>AW232+AX232</f>
        <v>10952.92</v>
      </c>
      <c r="BD232" s="22">
        <f>G232/(100-BE232)*100</f>
        <v>5476.46</v>
      </c>
      <c r="BE232" s="22">
        <v>0</v>
      </c>
      <c r="BF232" s="22">
        <f>L232</f>
        <v>3.4000000000000002E-4</v>
      </c>
      <c r="BH232" s="5">
        <f>F232*AO232</f>
        <v>10952.92</v>
      </c>
      <c r="BI232" s="5">
        <f>F232*AP232</f>
        <v>0</v>
      </c>
      <c r="BJ232" s="5">
        <f>F232*G232</f>
        <v>10952.92</v>
      </c>
    </row>
    <row r="233" spans="1:62">
      <c r="C233" s="66" t="s">
        <v>660</v>
      </c>
      <c r="D233" s="175" t="s">
        <v>787</v>
      </c>
      <c r="E233" s="176"/>
      <c r="F233" s="176"/>
      <c r="G233" s="176"/>
      <c r="H233" s="176"/>
      <c r="I233" s="176"/>
      <c r="J233" s="176"/>
      <c r="K233" s="176"/>
      <c r="L233" s="176"/>
      <c r="M233" s="176"/>
    </row>
    <row r="234" spans="1:62">
      <c r="A234" s="1" t="s">
        <v>155</v>
      </c>
      <c r="B234" s="1" t="s">
        <v>658</v>
      </c>
      <c r="C234" s="1" t="s">
        <v>374</v>
      </c>
      <c r="D234" s="1" t="s">
        <v>585</v>
      </c>
      <c r="E234" s="1" t="s">
        <v>634</v>
      </c>
      <c r="F234" s="5">
        <f>'Rozpočet - vybrané sloupce'!AN191</f>
        <v>7</v>
      </c>
      <c r="G234" s="5">
        <f>'Rozpočet - vybrané sloupce'!AS191</f>
        <v>5215.5</v>
      </c>
      <c r="H234" s="5">
        <f>F234*AO234</f>
        <v>36508.5</v>
      </c>
      <c r="I234" s="5">
        <f>F234*AP234</f>
        <v>0</v>
      </c>
      <c r="J234" s="5">
        <f>F234*G234</f>
        <v>36508.5</v>
      </c>
      <c r="K234" s="5">
        <v>1.7000000000000001E-4</v>
      </c>
      <c r="L234" s="5">
        <f>F234*K234</f>
        <v>1.1900000000000001E-3</v>
      </c>
      <c r="M234" s="38" t="s">
        <v>653</v>
      </c>
      <c r="Z234" s="22">
        <f>IF(AQ234="5",BJ234,0)</f>
        <v>0</v>
      </c>
      <c r="AB234" s="22">
        <f>IF(AQ234="1",BH234,0)</f>
        <v>0</v>
      </c>
      <c r="AC234" s="22">
        <f>IF(AQ234="1",BI234,0)</f>
        <v>0</v>
      </c>
      <c r="AD234" s="22">
        <f>IF(AQ234="7",BH234,0)</f>
        <v>36508.5</v>
      </c>
      <c r="AE234" s="22">
        <f>IF(AQ234="7",BI234,0)</f>
        <v>0</v>
      </c>
      <c r="AF234" s="22">
        <f>IF(AQ234="2",BH234,0)</f>
        <v>0</v>
      </c>
      <c r="AG234" s="22">
        <f>IF(AQ234="2",BI234,0)</f>
        <v>0</v>
      </c>
      <c r="AH234" s="22">
        <f>IF(AQ234="0",BJ234,0)</f>
        <v>0</v>
      </c>
      <c r="AI234" s="34" t="s">
        <v>658</v>
      </c>
      <c r="AJ234" s="5">
        <f>IF(AN234=0,J234,0)</f>
        <v>0</v>
      </c>
      <c r="AK234" s="5">
        <f>IF(AN234=15,J234,0)</f>
        <v>0</v>
      </c>
      <c r="AL234" s="5">
        <f>IF(AN234=21,J234,0)</f>
        <v>36508.5</v>
      </c>
      <c r="AN234" s="22">
        <v>21</v>
      </c>
      <c r="AO234" s="22">
        <f>G234*1</f>
        <v>5215.5</v>
      </c>
      <c r="AP234" s="22">
        <f>G234*(1-1)</f>
        <v>0</v>
      </c>
      <c r="AQ234" s="38" t="s">
        <v>13</v>
      </c>
      <c r="AV234" s="22">
        <f>AW234+AX234</f>
        <v>36508.5</v>
      </c>
      <c r="AW234" s="22">
        <f>F234*AO234</f>
        <v>36508.5</v>
      </c>
      <c r="AX234" s="22">
        <f>F234*AP234</f>
        <v>0</v>
      </c>
      <c r="AY234" s="77" t="s">
        <v>911</v>
      </c>
      <c r="AZ234" s="77" t="s">
        <v>927</v>
      </c>
      <c r="BA234" s="34" t="s">
        <v>934</v>
      </c>
      <c r="BC234" s="22">
        <f>AW234+AX234</f>
        <v>36508.5</v>
      </c>
      <c r="BD234" s="22">
        <f>G234/(100-BE234)*100</f>
        <v>5215.5</v>
      </c>
      <c r="BE234" s="22">
        <v>0</v>
      </c>
      <c r="BF234" s="22">
        <f>L234</f>
        <v>1.1900000000000001E-3</v>
      </c>
      <c r="BH234" s="5">
        <f>F234*AO234</f>
        <v>36508.5</v>
      </c>
      <c r="BI234" s="5">
        <f>F234*AP234</f>
        <v>0</v>
      </c>
      <c r="BJ234" s="5">
        <f>F234*G234</f>
        <v>36508.5</v>
      </c>
    </row>
    <row r="235" spans="1:62">
      <c r="C235" s="66" t="s">
        <v>660</v>
      </c>
      <c r="D235" s="175" t="s">
        <v>788</v>
      </c>
      <c r="E235" s="176"/>
      <c r="F235" s="176"/>
      <c r="G235" s="176"/>
      <c r="H235" s="176"/>
      <c r="I235" s="176"/>
      <c r="J235" s="176"/>
      <c r="K235" s="176"/>
      <c r="L235" s="176"/>
      <c r="M235" s="176"/>
    </row>
    <row r="236" spans="1:62">
      <c r="A236" s="1" t="s">
        <v>156</v>
      </c>
      <c r="B236" s="1" t="s">
        <v>658</v>
      </c>
      <c r="C236" s="1" t="s">
        <v>375</v>
      </c>
      <c r="D236" s="1" t="s">
        <v>586</v>
      </c>
      <c r="E236" s="1" t="s">
        <v>634</v>
      </c>
      <c r="F236" s="5">
        <f>'Rozpočet - vybrané sloupce'!AN192</f>
        <v>2</v>
      </c>
      <c r="G236" s="5">
        <f>'Rozpočet - vybrané sloupce'!AS192</f>
        <v>1500</v>
      </c>
      <c r="H236" s="5">
        <f>F236*AO236</f>
        <v>3000</v>
      </c>
      <c r="I236" s="5">
        <f>F236*AP236</f>
        <v>0</v>
      </c>
      <c r="J236" s="5">
        <f>F236*G236</f>
        <v>3000</v>
      </c>
      <c r="K236" s="5">
        <v>1.7000000000000001E-4</v>
      </c>
      <c r="L236" s="5">
        <f>F236*K236</f>
        <v>3.4000000000000002E-4</v>
      </c>
      <c r="M236" s="38" t="s">
        <v>653</v>
      </c>
      <c r="Z236" s="22">
        <f>IF(AQ236="5",BJ236,0)</f>
        <v>0</v>
      </c>
      <c r="AB236" s="22">
        <f>IF(AQ236="1",BH236,0)</f>
        <v>0</v>
      </c>
      <c r="AC236" s="22">
        <f>IF(AQ236="1",BI236,0)</f>
        <v>0</v>
      </c>
      <c r="AD236" s="22">
        <f>IF(AQ236="7",BH236,0)</f>
        <v>3000</v>
      </c>
      <c r="AE236" s="22">
        <f>IF(AQ236="7",BI236,0)</f>
        <v>0</v>
      </c>
      <c r="AF236" s="22">
        <f>IF(AQ236="2",BH236,0)</f>
        <v>0</v>
      </c>
      <c r="AG236" s="22">
        <f>IF(AQ236="2",BI236,0)</f>
        <v>0</v>
      </c>
      <c r="AH236" s="22">
        <f>IF(AQ236="0",BJ236,0)</f>
        <v>0</v>
      </c>
      <c r="AI236" s="34" t="s">
        <v>658</v>
      </c>
      <c r="AJ236" s="5">
        <f>IF(AN236=0,J236,0)</f>
        <v>0</v>
      </c>
      <c r="AK236" s="5">
        <f>IF(AN236=15,J236,0)</f>
        <v>0</v>
      </c>
      <c r="AL236" s="5">
        <f>IF(AN236=21,J236,0)</f>
        <v>3000</v>
      </c>
      <c r="AN236" s="22">
        <v>21</v>
      </c>
      <c r="AO236" s="22">
        <f>G236*1</f>
        <v>1500</v>
      </c>
      <c r="AP236" s="22">
        <f>G236*(1-1)</f>
        <v>0</v>
      </c>
      <c r="AQ236" s="38" t="s">
        <v>13</v>
      </c>
      <c r="AV236" s="22">
        <f>AW236+AX236</f>
        <v>3000</v>
      </c>
      <c r="AW236" s="22">
        <f>F236*AO236</f>
        <v>3000</v>
      </c>
      <c r="AX236" s="22">
        <f>F236*AP236</f>
        <v>0</v>
      </c>
      <c r="AY236" s="77" t="s">
        <v>911</v>
      </c>
      <c r="AZ236" s="77" t="s">
        <v>927</v>
      </c>
      <c r="BA236" s="34" t="s">
        <v>934</v>
      </c>
      <c r="BC236" s="22">
        <f>AW236+AX236</f>
        <v>3000</v>
      </c>
      <c r="BD236" s="22">
        <f>G236/(100-BE236)*100</f>
        <v>1500</v>
      </c>
      <c r="BE236" s="22">
        <v>0</v>
      </c>
      <c r="BF236" s="22">
        <f>L236</f>
        <v>3.4000000000000002E-4</v>
      </c>
      <c r="BH236" s="5">
        <f>F236*AO236</f>
        <v>3000</v>
      </c>
      <c r="BI236" s="5">
        <f>F236*AP236</f>
        <v>0</v>
      </c>
      <c r="BJ236" s="5">
        <f>F236*G236</f>
        <v>3000</v>
      </c>
    </row>
    <row r="237" spans="1:62">
      <c r="A237" s="1" t="s">
        <v>157</v>
      </c>
      <c r="B237" s="1" t="s">
        <v>658</v>
      </c>
      <c r="C237" s="1" t="s">
        <v>376</v>
      </c>
      <c r="D237" s="1" t="s">
        <v>587</v>
      </c>
      <c r="E237" s="1" t="s">
        <v>637</v>
      </c>
      <c r="F237" s="5">
        <f>'Rozpočet - vybrané sloupce'!AN193</f>
        <v>1</v>
      </c>
      <c r="G237" s="5">
        <f>'Rozpočet - vybrané sloupce'!AS193</f>
        <v>9850</v>
      </c>
      <c r="H237" s="5">
        <f>F237*AO237</f>
        <v>9850</v>
      </c>
      <c r="I237" s="5">
        <f>F237*AP237</f>
        <v>0</v>
      </c>
      <c r="J237" s="5">
        <f>F237*G237</f>
        <v>9850</v>
      </c>
      <c r="K237" s="5">
        <v>1.7000000000000001E-4</v>
      </c>
      <c r="L237" s="5">
        <f>F237*K237</f>
        <v>1.7000000000000001E-4</v>
      </c>
      <c r="M237" s="38" t="s">
        <v>653</v>
      </c>
      <c r="Z237" s="22">
        <f>IF(AQ237="5",BJ237,0)</f>
        <v>0</v>
      </c>
      <c r="AB237" s="22">
        <f>IF(AQ237="1",BH237,0)</f>
        <v>0</v>
      </c>
      <c r="AC237" s="22">
        <f>IF(AQ237="1",BI237,0)</f>
        <v>0</v>
      </c>
      <c r="AD237" s="22">
        <f>IF(AQ237="7",BH237,0)</f>
        <v>9850</v>
      </c>
      <c r="AE237" s="22">
        <f>IF(AQ237="7",BI237,0)</f>
        <v>0</v>
      </c>
      <c r="AF237" s="22">
        <f>IF(AQ237="2",BH237,0)</f>
        <v>0</v>
      </c>
      <c r="AG237" s="22">
        <f>IF(AQ237="2",BI237,0)</f>
        <v>0</v>
      </c>
      <c r="AH237" s="22">
        <f>IF(AQ237="0",BJ237,0)</f>
        <v>0</v>
      </c>
      <c r="AI237" s="34" t="s">
        <v>658</v>
      </c>
      <c r="AJ237" s="5">
        <f>IF(AN237=0,J237,0)</f>
        <v>0</v>
      </c>
      <c r="AK237" s="5">
        <f>IF(AN237=15,J237,0)</f>
        <v>0</v>
      </c>
      <c r="AL237" s="5">
        <f>IF(AN237=21,J237,0)</f>
        <v>9850</v>
      </c>
      <c r="AN237" s="22">
        <v>21</v>
      </c>
      <c r="AO237" s="22">
        <f>G237*1</f>
        <v>9850</v>
      </c>
      <c r="AP237" s="22">
        <f>G237*(1-1)</f>
        <v>0</v>
      </c>
      <c r="AQ237" s="38" t="s">
        <v>13</v>
      </c>
      <c r="AV237" s="22">
        <f>AW237+AX237</f>
        <v>9850</v>
      </c>
      <c r="AW237" s="22">
        <f>F237*AO237</f>
        <v>9850</v>
      </c>
      <c r="AX237" s="22">
        <f>F237*AP237</f>
        <v>0</v>
      </c>
      <c r="AY237" s="77" t="s">
        <v>911</v>
      </c>
      <c r="AZ237" s="77" t="s">
        <v>927</v>
      </c>
      <c r="BA237" s="34" t="s">
        <v>934</v>
      </c>
      <c r="BC237" s="22">
        <f>AW237+AX237</f>
        <v>9850</v>
      </c>
      <c r="BD237" s="22">
        <f>G237/(100-BE237)*100</f>
        <v>9850</v>
      </c>
      <c r="BE237" s="22">
        <v>0</v>
      </c>
      <c r="BF237" s="22">
        <f>L237</f>
        <v>1.7000000000000001E-4</v>
      </c>
      <c r="BH237" s="5">
        <f>F237*AO237</f>
        <v>9850</v>
      </c>
      <c r="BI237" s="5">
        <f>F237*AP237</f>
        <v>0</v>
      </c>
      <c r="BJ237" s="5">
        <f>F237*G237</f>
        <v>9850</v>
      </c>
    </row>
    <row r="238" spans="1:62">
      <c r="A238" s="1" t="s">
        <v>158</v>
      </c>
      <c r="B238" s="1" t="s">
        <v>658</v>
      </c>
      <c r="C238" s="1" t="s">
        <v>377</v>
      </c>
      <c r="D238" s="1" t="s">
        <v>588</v>
      </c>
      <c r="E238" s="1" t="s">
        <v>635</v>
      </c>
      <c r="F238" s="5">
        <f>'Rozpočet - vybrané sloupce'!AN194</f>
        <v>30.44</v>
      </c>
      <c r="G238" s="5">
        <f>'Rozpočet - vybrané sloupce'!AS194</f>
        <v>518.01</v>
      </c>
      <c r="H238" s="5">
        <f>F238*AO238</f>
        <v>1908.8929326616742</v>
      </c>
      <c r="I238" s="5">
        <f>F238*AP238</f>
        <v>13859.331467338325</v>
      </c>
      <c r="J238" s="5">
        <f>F238*G238</f>
        <v>15768.224400000001</v>
      </c>
      <c r="K238" s="5">
        <v>4.8000000000000001E-4</v>
      </c>
      <c r="L238" s="5">
        <f>F238*K238</f>
        <v>1.4611200000000001E-2</v>
      </c>
      <c r="M238" s="38" t="s">
        <v>655</v>
      </c>
      <c r="Z238" s="22">
        <f>IF(AQ238="5",BJ238,0)</f>
        <v>0</v>
      </c>
      <c r="AB238" s="22">
        <f>IF(AQ238="1",BH238,0)</f>
        <v>0</v>
      </c>
      <c r="AC238" s="22">
        <f>IF(AQ238="1",BI238,0)</f>
        <v>0</v>
      </c>
      <c r="AD238" s="22">
        <f>IF(AQ238="7",BH238,0)</f>
        <v>1908.8929326616742</v>
      </c>
      <c r="AE238" s="22">
        <f>IF(AQ238="7",BI238,0)</f>
        <v>13859.331467338325</v>
      </c>
      <c r="AF238" s="22">
        <f>IF(AQ238="2",BH238,0)</f>
        <v>0</v>
      </c>
      <c r="AG238" s="22">
        <f>IF(AQ238="2",BI238,0)</f>
        <v>0</v>
      </c>
      <c r="AH238" s="22">
        <f>IF(AQ238="0",BJ238,0)</f>
        <v>0</v>
      </c>
      <c r="AI238" s="34" t="s">
        <v>658</v>
      </c>
      <c r="AJ238" s="5">
        <f>IF(AN238=0,J238,0)</f>
        <v>0</v>
      </c>
      <c r="AK238" s="5">
        <f>IF(AN238=15,J238,0)</f>
        <v>0</v>
      </c>
      <c r="AL238" s="5">
        <f>IF(AN238=21,J238,0)</f>
        <v>15768.224400000001</v>
      </c>
      <c r="AN238" s="22">
        <v>21</v>
      </c>
      <c r="AO238" s="22">
        <f>G238*0.12105947278767</f>
        <v>62.710017498740939</v>
      </c>
      <c r="AP238" s="22">
        <f>G238*(1-0.12105947278767)</f>
        <v>455.29998250125902</v>
      </c>
      <c r="AQ238" s="38" t="s">
        <v>13</v>
      </c>
      <c r="AV238" s="22">
        <f>AW238+AX238</f>
        <v>15768.224399999999</v>
      </c>
      <c r="AW238" s="22">
        <f>F238*AO238</f>
        <v>1908.8929326616742</v>
      </c>
      <c r="AX238" s="22">
        <f>F238*AP238</f>
        <v>13859.331467338325</v>
      </c>
      <c r="AY238" s="77" t="s">
        <v>911</v>
      </c>
      <c r="AZ238" s="77" t="s">
        <v>927</v>
      </c>
      <c r="BA238" s="34" t="s">
        <v>934</v>
      </c>
      <c r="BC238" s="22">
        <f>AW238+AX238</f>
        <v>15768.224399999999</v>
      </c>
      <c r="BD238" s="22">
        <f>G238/(100-BE238)*100</f>
        <v>518.01</v>
      </c>
      <c r="BE238" s="22">
        <v>0</v>
      </c>
      <c r="BF238" s="22">
        <f>L238</f>
        <v>1.4611200000000001E-2</v>
      </c>
      <c r="BH238" s="5">
        <f>F238*AO238</f>
        <v>1908.8929326616742</v>
      </c>
      <c r="BI238" s="5">
        <f>F238*AP238</f>
        <v>13859.331467338325</v>
      </c>
      <c r="BJ238" s="5">
        <f>F238*G238</f>
        <v>15768.224400000001</v>
      </c>
    </row>
    <row r="239" spans="1:62">
      <c r="A239" s="1" t="s">
        <v>159</v>
      </c>
      <c r="B239" s="1" t="s">
        <v>658</v>
      </c>
      <c r="C239" s="1" t="s">
        <v>378</v>
      </c>
      <c r="D239" s="1" t="s">
        <v>589</v>
      </c>
      <c r="E239" s="1" t="s">
        <v>640</v>
      </c>
      <c r="F239" s="5">
        <f>'Rozpočet - vybrané sloupce'!AN195</f>
        <v>112.95</v>
      </c>
      <c r="G239" s="5">
        <f>'Rozpočet - vybrané sloupce'!AS195</f>
        <v>46.3</v>
      </c>
      <c r="H239" s="5">
        <f>F239*AO239</f>
        <v>739.82179265726495</v>
      </c>
      <c r="I239" s="5">
        <f>F239*AP239</f>
        <v>4489.7632073427349</v>
      </c>
      <c r="J239" s="5">
        <f>F239*G239</f>
        <v>5229.585</v>
      </c>
      <c r="K239" s="5">
        <v>5.0000000000000002E-5</v>
      </c>
      <c r="L239" s="5">
        <f>F239*K239</f>
        <v>5.6475000000000006E-3</v>
      </c>
      <c r="M239" s="38" t="s">
        <v>653</v>
      </c>
      <c r="Z239" s="22">
        <f>IF(AQ239="5",BJ239,0)</f>
        <v>0</v>
      </c>
      <c r="AB239" s="22">
        <f>IF(AQ239="1",BH239,0)</f>
        <v>0</v>
      </c>
      <c r="AC239" s="22">
        <f>IF(AQ239="1",BI239,0)</f>
        <v>0</v>
      </c>
      <c r="AD239" s="22">
        <f>IF(AQ239="7",BH239,0)</f>
        <v>739.82179265726495</v>
      </c>
      <c r="AE239" s="22">
        <f>IF(AQ239="7",BI239,0)</f>
        <v>4489.7632073427349</v>
      </c>
      <c r="AF239" s="22">
        <f>IF(AQ239="2",BH239,0)</f>
        <v>0</v>
      </c>
      <c r="AG239" s="22">
        <f>IF(AQ239="2",BI239,0)</f>
        <v>0</v>
      </c>
      <c r="AH239" s="22">
        <f>IF(AQ239="0",BJ239,0)</f>
        <v>0</v>
      </c>
      <c r="AI239" s="34" t="s">
        <v>658</v>
      </c>
      <c r="AJ239" s="5">
        <f>IF(AN239=0,J239,0)</f>
        <v>0</v>
      </c>
      <c r="AK239" s="5">
        <f>IF(AN239=15,J239,0)</f>
        <v>0</v>
      </c>
      <c r="AL239" s="5">
        <f>IF(AN239=21,J239,0)</f>
        <v>5229.585</v>
      </c>
      <c r="AN239" s="22">
        <v>21</v>
      </c>
      <c r="AO239" s="22">
        <f>G239*0.14146854724749</f>
        <v>6.5499937375587862</v>
      </c>
      <c r="AP239" s="22">
        <f>G239*(1-0.14146854724749)</f>
        <v>39.750006262441211</v>
      </c>
      <c r="AQ239" s="38" t="s">
        <v>13</v>
      </c>
      <c r="AV239" s="22">
        <f>AW239+AX239</f>
        <v>5229.585</v>
      </c>
      <c r="AW239" s="22">
        <f>F239*AO239</f>
        <v>739.82179265726495</v>
      </c>
      <c r="AX239" s="22">
        <f>F239*AP239</f>
        <v>4489.7632073427349</v>
      </c>
      <c r="AY239" s="77" t="s">
        <v>911</v>
      </c>
      <c r="AZ239" s="77" t="s">
        <v>927</v>
      </c>
      <c r="BA239" s="34" t="s">
        <v>934</v>
      </c>
      <c r="BC239" s="22">
        <f>AW239+AX239</f>
        <v>5229.585</v>
      </c>
      <c r="BD239" s="22">
        <f>G239/(100-BE239)*100</f>
        <v>46.3</v>
      </c>
      <c r="BE239" s="22">
        <v>0</v>
      </c>
      <c r="BF239" s="22">
        <f>L239</f>
        <v>5.6475000000000006E-3</v>
      </c>
      <c r="BH239" s="5">
        <f>F239*AO239</f>
        <v>739.82179265726495</v>
      </c>
      <c r="BI239" s="5">
        <f>F239*AP239</f>
        <v>4489.7632073427349</v>
      </c>
      <c r="BJ239" s="5">
        <f>F239*G239</f>
        <v>5229.585</v>
      </c>
    </row>
    <row r="240" spans="1:62">
      <c r="A240" s="2" t="s">
        <v>160</v>
      </c>
      <c r="B240" s="2" t="s">
        <v>658</v>
      </c>
      <c r="C240" s="2" t="s">
        <v>379</v>
      </c>
      <c r="D240" s="2" t="s">
        <v>590</v>
      </c>
      <c r="E240" s="2" t="s">
        <v>639</v>
      </c>
      <c r="F240" s="6">
        <f>'Rozpočet - vybrané sloupce'!AN196</f>
        <v>0.11294999999999999</v>
      </c>
      <c r="G240" s="6">
        <f>'Rozpočet - vybrané sloupce'!AS196</f>
        <v>19299.060000000001</v>
      </c>
      <c r="H240" s="6">
        <f>F240*AO240</f>
        <v>2179.8288270000003</v>
      </c>
      <c r="I240" s="6">
        <f>F240*AP240</f>
        <v>0</v>
      </c>
      <c r="J240" s="6">
        <f>F240*G240</f>
        <v>2179.8288270000003</v>
      </c>
      <c r="K240" s="6">
        <v>1</v>
      </c>
      <c r="L240" s="6">
        <f>F240*K240</f>
        <v>0.11294999999999999</v>
      </c>
      <c r="M240" s="39" t="s">
        <v>653</v>
      </c>
      <c r="Z240" s="22">
        <f>IF(AQ240="5",BJ240,0)</f>
        <v>0</v>
      </c>
      <c r="AB240" s="22">
        <f>IF(AQ240="1",BH240,0)</f>
        <v>0</v>
      </c>
      <c r="AC240" s="22">
        <f>IF(AQ240="1",BI240,0)</f>
        <v>0</v>
      </c>
      <c r="AD240" s="22">
        <f>IF(AQ240="7",BH240,0)</f>
        <v>2179.8288270000003</v>
      </c>
      <c r="AE240" s="22">
        <f>IF(AQ240="7",BI240,0)</f>
        <v>0</v>
      </c>
      <c r="AF240" s="22">
        <f>IF(AQ240="2",BH240,0)</f>
        <v>0</v>
      </c>
      <c r="AG240" s="22">
        <f>IF(AQ240="2",BI240,0)</f>
        <v>0</v>
      </c>
      <c r="AH240" s="22">
        <f>IF(AQ240="0",BJ240,0)</f>
        <v>0</v>
      </c>
      <c r="AI240" s="34" t="s">
        <v>658</v>
      </c>
      <c r="AJ240" s="6">
        <f>IF(AN240=0,J240,0)</f>
        <v>0</v>
      </c>
      <c r="AK240" s="6">
        <f>IF(AN240=15,J240,0)</f>
        <v>0</v>
      </c>
      <c r="AL240" s="6">
        <f>IF(AN240=21,J240,0)</f>
        <v>2179.8288270000003</v>
      </c>
      <c r="AN240" s="22">
        <v>21</v>
      </c>
      <c r="AO240" s="22">
        <f>G240*1</f>
        <v>19299.060000000001</v>
      </c>
      <c r="AP240" s="22">
        <f>G240*(1-1)</f>
        <v>0</v>
      </c>
      <c r="AQ240" s="39" t="s">
        <v>13</v>
      </c>
      <c r="AV240" s="22">
        <f>AW240+AX240</f>
        <v>2179.8288270000003</v>
      </c>
      <c r="AW240" s="22">
        <f>F240*AO240</f>
        <v>2179.8288270000003</v>
      </c>
      <c r="AX240" s="22">
        <f>F240*AP240</f>
        <v>0</v>
      </c>
      <c r="AY240" s="77" t="s">
        <v>911</v>
      </c>
      <c r="AZ240" s="77" t="s">
        <v>927</v>
      </c>
      <c r="BA240" s="34" t="s">
        <v>934</v>
      </c>
      <c r="BC240" s="22">
        <f>AW240+AX240</f>
        <v>2179.8288270000003</v>
      </c>
      <c r="BD240" s="22">
        <f>G240/(100-BE240)*100</f>
        <v>19299.060000000001</v>
      </c>
      <c r="BE240" s="22">
        <v>0</v>
      </c>
      <c r="BF240" s="22">
        <f>L240</f>
        <v>0.11294999999999999</v>
      </c>
      <c r="BH240" s="6">
        <f>F240*AO240</f>
        <v>2179.8288270000003</v>
      </c>
      <c r="BI240" s="6">
        <f>F240*AP240</f>
        <v>0</v>
      </c>
      <c r="BJ240" s="6">
        <f>F240*G240</f>
        <v>2179.8288270000003</v>
      </c>
    </row>
    <row r="241" spans="1:62">
      <c r="C241" s="67" t="s">
        <v>672</v>
      </c>
      <c r="D241" s="167" t="s">
        <v>792</v>
      </c>
      <c r="E241" s="168"/>
      <c r="F241" s="168"/>
      <c r="G241" s="168"/>
      <c r="H241" s="168"/>
      <c r="I241" s="168"/>
      <c r="J241" s="168"/>
      <c r="K241" s="168"/>
      <c r="L241" s="168"/>
      <c r="M241" s="168"/>
    </row>
    <row r="242" spans="1:62">
      <c r="A242" s="1" t="s">
        <v>161</v>
      </c>
      <c r="B242" s="1" t="s">
        <v>658</v>
      </c>
      <c r="C242" s="1" t="s">
        <v>380</v>
      </c>
      <c r="D242" s="1" t="s">
        <v>591</v>
      </c>
      <c r="E242" s="1" t="s">
        <v>640</v>
      </c>
      <c r="F242" s="5">
        <f>'Rozpočet - vybrané sloupce'!AN197</f>
        <v>62.406999999999996</v>
      </c>
      <c r="G242" s="5">
        <f>'Rozpočet - vybrané sloupce'!AS197</f>
        <v>148.99</v>
      </c>
      <c r="H242" s="5">
        <f>F242*AO242</f>
        <v>715.18413769784127</v>
      </c>
      <c r="I242" s="5">
        <f>F242*AP242</f>
        <v>8582.8347923021574</v>
      </c>
      <c r="J242" s="5">
        <f>F242*G242</f>
        <v>9298.0189300000002</v>
      </c>
      <c r="K242" s="5">
        <v>6.0000000000000002E-5</v>
      </c>
      <c r="L242" s="5">
        <f>F242*K242</f>
        <v>3.74442E-3</v>
      </c>
      <c r="M242" s="38" t="s">
        <v>653</v>
      </c>
      <c r="Z242" s="22">
        <f>IF(AQ242="5",BJ242,0)</f>
        <v>0</v>
      </c>
      <c r="AB242" s="22">
        <f>IF(AQ242="1",BH242,0)</f>
        <v>0</v>
      </c>
      <c r="AC242" s="22">
        <f>IF(AQ242="1",BI242,0)</f>
        <v>0</v>
      </c>
      <c r="AD242" s="22">
        <f>IF(AQ242="7",BH242,0)</f>
        <v>715.18413769784127</v>
      </c>
      <c r="AE242" s="22">
        <f>IF(AQ242="7",BI242,0)</f>
        <v>8582.8347923021574</v>
      </c>
      <c r="AF242" s="22">
        <f>IF(AQ242="2",BH242,0)</f>
        <v>0</v>
      </c>
      <c r="AG242" s="22">
        <f>IF(AQ242="2",BI242,0)</f>
        <v>0</v>
      </c>
      <c r="AH242" s="22">
        <f>IF(AQ242="0",BJ242,0)</f>
        <v>0</v>
      </c>
      <c r="AI242" s="34" t="s">
        <v>658</v>
      </c>
      <c r="AJ242" s="5">
        <f>IF(AN242=0,J242,0)</f>
        <v>0</v>
      </c>
      <c r="AK242" s="5">
        <f>IF(AN242=15,J242,0)</f>
        <v>0</v>
      </c>
      <c r="AL242" s="5">
        <f>IF(AN242=21,J242,0)</f>
        <v>9298.0189300000002</v>
      </c>
      <c r="AN242" s="22">
        <v>21</v>
      </c>
      <c r="AO242" s="22">
        <f>G242*0.0769179051023766</f>
        <v>11.459998681203091</v>
      </c>
      <c r="AP242" s="22">
        <f>G242*(1-0.0769179051023766)</f>
        <v>137.53000131879691</v>
      </c>
      <c r="AQ242" s="38" t="s">
        <v>13</v>
      </c>
      <c r="AV242" s="22">
        <f>AW242+AX242</f>
        <v>9298.0189299999984</v>
      </c>
      <c r="AW242" s="22">
        <f>F242*AO242</f>
        <v>715.18413769784127</v>
      </c>
      <c r="AX242" s="22">
        <f>F242*AP242</f>
        <v>8582.8347923021574</v>
      </c>
      <c r="AY242" s="77" t="s">
        <v>911</v>
      </c>
      <c r="AZ242" s="77" t="s">
        <v>927</v>
      </c>
      <c r="BA242" s="34" t="s">
        <v>934</v>
      </c>
      <c r="BC242" s="22">
        <f>AW242+AX242</f>
        <v>9298.0189299999984</v>
      </c>
      <c r="BD242" s="22">
        <f>G242/(100-BE242)*100</f>
        <v>148.99</v>
      </c>
      <c r="BE242" s="22">
        <v>0</v>
      </c>
      <c r="BF242" s="22">
        <f>L242</f>
        <v>3.74442E-3</v>
      </c>
      <c r="BH242" s="5">
        <f>F242*AO242</f>
        <v>715.18413769784127</v>
      </c>
      <c r="BI242" s="5">
        <f>F242*AP242</f>
        <v>8582.8347923021574</v>
      </c>
      <c r="BJ242" s="5">
        <f>F242*G242</f>
        <v>9298.0189300000002</v>
      </c>
    </row>
    <row r="243" spans="1:62">
      <c r="A243" s="2" t="s">
        <v>162</v>
      </c>
      <c r="B243" s="2" t="s">
        <v>658</v>
      </c>
      <c r="C243" s="2" t="s">
        <v>381</v>
      </c>
      <c r="D243" s="2" t="s">
        <v>592</v>
      </c>
      <c r="E243" s="2" t="s">
        <v>639</v>
      </c>
      <c r="F243" s="6">
        <f>'Rozpočet - vybrané sloupce'!AN198</f>
        <v>6.8650000000000003E-2</v>
      </c>
      <c r="G243" s="6">
        <f>'Rozpočet - vybrané sloupce'!AS198</f>
        <v>22883.79</v>
      </c>
      <c r="H243" s="6">
        <f>F243*AO243</f>
        <v>1570.9721835</v>
      </c>
      <c r="I243" s="6">
        <f>F243*AP243</f>
        <v>0</v>
      </c>
      <c r="J243" s="6">
        <f>F243*G243</f>
        <v>1570.9721835</v>
      </c>
      <c r="K243" s="6">
        <v>1</v>
      </c>
      <c r="L243" s="6">
        <f>F243*K243</f>
        <v>6.8650000000000003E-2</v>
      </c>
      <c r="M243" s="39" t="s">
        <v>653</v>
      </c>
      <c r="Z243" s="22">
        <f>IF(AQ243="5",BJ243,0)</f>
        <v>0</v>
      </c>
      <c r="AB243" s="22">
        <f>IF(AQ243="1",BH243,0)</f>
        <v>0</v>
      </c>
      <c r="AC243" s="22">
        <f>IF(AQ243="1",BI243,0)</f>
        <v>0</v>
      </c>
      <c r="AD243" s="22">
        <f>IF(AQ243="7",BH243,0)</f>
        <v>1570.9721835</v>
      </c>
      <c r="AE243" s="22">
        <f>IF(AQ243="7",BI243,0)</f>
        <v>0</v>
      </c>
      <c r="AF243" s="22">
        <f>IF(AQ243="2",BH243,0)</f>
        <v>0</v>
      </c>
      <c r="AG243" s="22">
        <f>IF(AQ243="2",BI243,0)</f>
        <v>0</v>
      </c>
      <c r="AH243" s="22">
        <f>IF(AQ243="0",BJ243,0)</f>
        <v>0</v>
      </c>
      <c r="AI243" s="34" t="s">
        <v>658</v>
      </c>
      <c r="AJ243" s="6">
        <f>IF(AN243=0,J243,0)</f>
        <v>0</v>
      </c>
      <c r="AK243" s="6">
        <f>IF(AN243=15,J243,0)</f>
        <v>0</v>
      </c>
      <c r="AL243" s="6">
        <f>IF(AN243=21,J243,0)</f>
        <v>1570.9721835</v>
      </c>
      <c r="AN243" s="22">
        <v>21</v>
      </c>
      <c r="AO243" s="22">
        <f>G243*1</f>
        <v>22883.79</v>
      </c>
      <c r="AP243" s="22">
        <f>G243*(1-1)</f>
        <v>0</v>
      </c>
      <c r="AQ243" s="39" t="s">
        <v>13</v>
      </c>
      <c r="AV243" s="22">
        <f>AW243+AX243</f>
        <v>1570.9721835</v>
      </c>
      <c r="AW243" s="22">
        <f>F243*AO243</f>
        <v>1570.9721835</v>
      </c>
      <c r="AX243" s="22">
        <f>F243*AP243</f>
        <v>0</v>
      </c>
      <c r="AY243" s="77" t="s">
        <v>911</v>
      </c>
      <c r="AZ243" s="77" t="s">
        <v>927</v>
      </c>
      <c r="BA243" s="34" t="s">
        <v>934</v>
      </c>
      <c r="BC243" s="22">
        <f>AW243+AX243</f>
        <v>1570.9721835</v>
      </c>
      <c r="BD243" s="22">
        <f>G243/(100-BE243)*100</f>
        <v>22883.79</v>
      </c>
      <c r="BE243" s="22">
        <v>0</v>
      </c>
      <c r="BF243" s="22">
        <f>L243</f>
        <v>6.8650000000000003E-2</v>
      </c>
      <c r="BH243" s="6">
        <f>F243*AO243</f>
        <v>1570.9721835</v>
      </c>
      <c r="BI243" s="6">
        <f>F243*AP243</f>
        <v>0</v>
      </c>
      <c r="BJ243" s="6">
        <f>F243*G243</f>
        <v>1570.9721835</v>
      </c>
    </row>
    <row r="244" spans="1:62">
      <c r="C244" s="67" t="s">
        <v>672</v>
      </c>
      <c r="D244" s="167" t="s">
        <v>797</v>
      </c>
      <c r="E244" s="168"/>
      <c r="F244" s="168"/>
      <c r="G244" s="168"/>
      <c r="H244" s="168"/>
      <c r="I244" s="168"/>
      <c r="J244" s="168"/>
      <c r="K244" s="168"/>
      <c r="L244" s="168"/>
      <c r="M244" s="168"/>
    </row>
    <row r="245" spans="1:62">
      <c r="A245" s="1" t="s">
        <v>163</v>
      </c>
      <c r="B245" s="1" t="s">
        <v>658</v>
      </c>
      <c r="C245" s="1" t="s">
        <v>382</v>
      </c>
      <c r="D245" s="1" t="s">
        <v>593</v>
      </c>
      <c r="E245" s="1" t="s">
        <v>640</v>
      </c>
      <c r="F245" s="5">
        <f>'Rozpočet - vybrané sloupce'!AN199</f>
        <v>85.747</v>
      </c>
      <c r="G245" s="5">
        <f>'Rozpočet - vybrané sloupce'!AS199</f>
        <v>53</v>
      </c>
      <c r="H245" s="5">
        <f>F245*AO245</f>
        <v>631.95552905663658</v>
      </c>
      <c r="I245" s="5">
        <f>F245*AP245</f>
        <v>3912.6354709433635</v>
      </c>
      <c r="J245" s="5">
        <f>F245*G245</f>
        <v>4544.5910000000003</v>
      </c>
      <c r="K245" s="5">
        <v>5.0000000000000002E-5</v>
      </c>
      <c r="L245" s="5">
        <f>F245*K245</f>
        <v>4.2873500000000005E-3</v>
      </c>
      <c r="M245" s="38" t="s">
        <v>653</v>
      </c>
      <c r="Z245" s="22">
        <f>IF(AQ245="5",BJ245,0)</f>
        <v>0</v>
      </c>
      <c r="AB245" s="22">
        <f>IF(AQ245="1",BH245,0)</f>
        <v>0</v>
      </c>
      <c r="AC245" s="22">
        <f>IF(AQ245="1",BI245,0)</f>
        <v>0</v>
      </c>
      <c r="AD245" s="22">
        <f>IF(AQ245="7",BH245,0)</f>
        <v>631.95552905663658</v>
      </c>
      <c r="AE245" s="22">
        <f>IF(AQ245="7",BI245,0)</f>
        <v>3912.6354709433635</v>
      </c>
      <c r="AF245" s="22">
        <f>IF(AQ245="2",BH245,0)</f>
        <v>0</v>
      </c>
      <c r="AG245" s="22">
        <f>IF(AQ245="2",BI245,0)</f>
        <v>0</v>
      </c>
      <c r="AH245" s="22">
        <f>IF(AQ245="0",BJ245,0)</f>
        <v>0</v>
      </c>
      <c r="AI245" s="34" t="s">
        <v>658</v>
      </c>
      <c r="AJ245" s="5">
        <f>IF(AN245=0,J245,0)</f>
        <v>0</v>
      </c>
      <c r="AK245" s="5">
        <f>IF(AN245=15,J245,0)</f>
        <v>0</v>
      </c>
      <c r="AL245" s="5">
        <f>IF(AN245=21,J245,0)</f>
        <v>4544.5910000000003</v>
      </c>
      <c r="AN245" s="22">
        <v>21</v>
      </c>
      <c r="AO245" s="22">
        <f>G245*0.139056634371858</f>
        <v>7.3700016217084743</v>
      </c>
      <c r="AP245" s="22">
        <f>G245*(1-0.139056634371858)</f>
        <v>45.629998378291525</v>
      </c>
      <c r="AQ245" s="38" t="s">
        <v>13</v>
      </c>
      <c r="AV245" s="22">
        <f>AW245+AX245</f>
        <v>4544.5910000000003</v>
      </c>
      <c r="AW245" s="22">
        <f>F245*AO245</f>
        <v>631.95552905663658</v>
      </c>
      <c r="AX245" s="22">
        <f>F245*AP245</f>
        <v>3912.6354709433635</v>
      </c>
      <c r="AY245" s="77" t="s">
        <v>911</v>
      </c>
      <c r="AZ245" s="77" t="s">
        <v>927</v>
      </c>
      <c r="BA245" s="34" t="s">
        <v>934</v>
      </c>
      <c r="BC245" s="22">
        <f>AW245+AX245</f>
        <v>4544.5910000000003</v>
      </c>
      <c r="BD245" s="22">
        <f>G245/(100-BE245)*100</f>
        <v>53</v>
      </c>
      <c r="BE245" s="22">
        <v>0</v>
      </c>
      <c r="BF245" s="22">
        <f>L245</f>
        <v>4.2873500000000005E-3</v>
      </c>
      <c r="BH245" s="5">
        <f>F245*AO245</f>
        <v>631.95552905663658</v>
      </c>
      <c r="BI245" s="5">
        <f>F245*AP245</f>
        <v>3912.6354709433635</v>
      </c>
      <c r="BJ245" s="5">
        <f>F245*G245</f>
        <v>4544.5910000000003</v>
      </c>
    </row>
    <row r="246" spans="1:62">
      <c r="A246" s="2" t="s">
        <v>164</v>
      </c>
      <c r="B246" s="2" t="s">
        <v>658</v>
      </c>
      <c r="C246" s="2" t="s">
        <v>383</v>
      </c>
      <c r="D246" s="2" t="s">
        <v>594</v>
      </c>
      <c r="E246" s="2" t="s">
        <v>639</v>
      </c>
      <c r="F246" s="6">
        <f>'Rozpočet - vybrané sloupce'!AN200</f>
        <v>9.4320000000000001E-2</v>
      </c>
      <c r="G246" s="6">
        <f>'Rozpočet - vybrané sloupce'!AS200</f>
        <v>27558.65</v>
      </c>
      <c r="H246" s="6">
        <f>F246*AO246</f>
        <v>2599.3318680000002</v>
      </c>
      <c r="I246" s="6">
        <f>F246*AP246</f>
        <v>0</v>
      </c>
      <c r="J246" s="6">
        <f>F246*G246</f>
        <v>2599.3318680000002</v>
      </c>
      <c r="K246" s="6">
        <v>1</v>
      </c>
      <c r="L246" s="6">
        <f>F246*K246</f>
        <v>9.4320000000000001E-2</v>
      </c>
      <c r="M246" s="39" t="s">
        <v>653</v>
      </c>
      <c r="Z246" s="22">
        <f>IF(AQ246="5",BJ246,0)</f>
        <v>0</v>
      </c>
      <c r="AB246" s="22">
        <f>IF(AQ246="1",BH246,0)</f>
        <v>0</v>
      </c>
      <c r="AC246" s="22">
        <f>IF(AQ246="1",BI246,0)</f>
        <v>0</v>
      </c>
      <c r="AD246" s="22">
        <f>IF(AQ246="7",BH246,0)</f>
        <v>2599.3318680000002</v>
      </c>
      <c r="AE246" s="22">
        <f>IF(AQ246="7",BI246,0)</f>
        <v>0</v>
      </c>
      <c r="AF246" s="22">
        <f>IF(AQ246="2",BH246,0)</f>
        <v>0</v>
      </c>
      <c r="AG246" s="22">
        <f>IF(AQ246="2",BI246,0)</f>
        <v>0</v>
      </c>
      <c r="AH246" s="22">
        <f>IF(AQ246="0",BJ246,0)</f>
        <v>0</v>
      </c>
      <c r="AI246" s="34" t="s">
        <v>658</v>
      </c>
      <c r="AJ246" s="6">
        <f>IF(AN246=0,J246,0)</f>
        <v>0</v>
      </c>
      <c r="AK246" s="6">
        <f>IF(AN246=15,J246,0)</f>
        <v>0</v>
      </c>
      <c r="AL246" s="6">
        <f>IF(AN246=21,J246,0)</f>
        <v>2599.3318680000002</v>
      </c>
      <c r="AN246" s="22">
        <v>21</v>
      </c>
      <c r="AO246" s="22">
        <f>G246*1</f>
        <v>27558.65</v>
      </c>
      <c r="AP246" s="22">
        <f>G246*(1-1)</f>
        <v>0</v>
      </c>
      <c r="AQ246" s="39" t="s">
        <v>13</v>
      </c>
      <c r="AV246" s="22">
        <f>AW246+AX246</f>
        <v>2599.3318680000002</v>
      </c>
      <c r="AW246" s="22">
        <f>F246*AO246</f>
        <v>2599.3318680000002</v>
      </c>
      <c r="AX246" s="22">
        <f>F246*AP246</f>
        <v>0</v>
      </c>
      <c r="AY246" s="77" t="s">
        <v>911</v>
      </c>
      <c r="AZ246" s="77" t="s">
        <v>927</v>
      </c>
      <c r="BA246" s="34" t="s">
        <v>934</v>
      </c>
      <c r="BC246" s="22">
        <f>AW246+AX246</f>
        <v>2599.3318680000002</v>
      </c>
      <c r="BD246" s="22">
        <f>G246/(100-BE246)*100</f>
        <v>27558.65</v>
      </c>
      <c r="BE246" s="22">
        <v>0</v>
      </c>
      <c r="BF246" s="22">
        <f>L246</f>
        <v>9.4320000000000001E-2</v>
      </c>
      <c r="BH246" s="6">
        <f>F246*AO246</f>
        <v>2599.3318680000002</v>
      </c>
      <c r="BI246" s="6">
        <f>F246*AP246</f>
        <v>0</v>
      </c>
      <c r="BJ246" s="6">
        <f>F246*G246</f>
        <v>2599.3318680000002</v>
      </c>
    </row>
    <row r="247" spans="1:62">
      <c r="C247" s="67" t="s">
        <v>672</v>
      </c>
      <c r="D247" s="167" t="s">
        <v>800</v>
      </c>
      <c r="E247" s="168"/>
      <c r="F247" s="168"/>
      <c r="G247" s="168"/>
      <c r="H247" s="168"/>
      <c r="I247" s="168"/>
      <c r="J247" s="168"/>
      <c r="K247" s="168"/>
      <c r="L247" s="168"/>
      <c r="M247" s="168"/>
    </row>
    <row r="248" spans="1:62">
      <c r="A248" s="1" t="s">
        <v>165</v>
      </c>
      <c r="B248" s="1" t="s">
        <v>658</v>
      </c>
      <c r="C248" s="1" t="s">
        <v>384</v>
      </c>
      <c r="D248" s="1" t="s">
        <v>595</v>
      </c>
      <c r="E248" s="1" t="s">
        <v>640</v>
      </c>
      <c r="F248" s="5">
        <f>'Rozpočet - vybrané sloupce'!AN201</f>
        <v>354.94400000000002</v>
      </c>
      <c r="G248" s="5">
        <f>'Rozpočet - vybrané sloupce'!AS201</f>
        <v>33.1</v>
      </c>
      <c r="H248" s="5">
        <f>F248*AO248</f>
        <v>1973.4880352871955</v>
      </c>
      <c r="I248" s="5">
        <f>F248*AP248</f>
        <v>9775.1583647128064</v>
      </c>
      <c r="J248" s="5">
        <f>F248*G248</f>
        <v>11748.646400000001</v>
      </c>
      <c r="K248" s="5">
        <v>5.0000000000000002E-5</v>
      </c>
      <c r="L248" s="5">
        <f>F248*K248</f>
        <v>1.7747200000000001E-2</v>
      </c>
      <c r="M248" s="38" t="s">
        <v>653</v>
      </c>
      <c r="Z248" s="22">
        <f>IF(AQ248="5",BJ248,0)</f>
        <v>0</v>
      </c>
      <c r="AB248" s="22">
        <f>IF(AQ248="1",BH248,0)</f>
        <v>0</v>
      </c>
      <c r="AC248" s="22">
        <f>IF(AQ248="1",BI248,0)</f>
        <v>0</v>
      </c>
      <c r="AD248" s="22">
        <f>IF(AQ248="7",BH248,0)</f>
        <v>1973.4880352871955</v>
      </c>
      <c r="AE248" s="22">
        <f>IF(AQ248="7",BI248,0)</f>
        <v>9775.1583647128064</v>
      </c>
      <c r="AF248" s="22">
        <f>IF(AQ248="2",BH248,0)</f>
        <v>0</v>
      </c>
      <c r="AG248" s="22">
        <f>IF(AQ248="2",BI248,0)</f>
        <v>0</v>
      </c>
      <c r="AH248" s="22">
        <f>IF(AQ248="0",BJ248,0)</f>
        <v>0</v>
      </c>
      <c r="AI248" s="34" t="s">
        <v>658</v>
      </c>
      <c r="AJ248" s="5">
        <f>IF(AN248=0,J248,0)</f>
        <v>0</v>
      </c>
      <c r="AK248" s="5">
        <f>IF(AN248=15,J248,0)</f>
        <v>0</v>
      </c>
      <c r="AL248" s="5">
        <f>IF(AN248=21,J248,0)</f>
        <v>11748.646400000001</v>
      </c>
      <c r="AN248" s="22">
        <v>21</v>
      </c>
      <c r="AO248" s="22">
        <f>G248*0.167975779344861</f>
        <v>5.5599982963148991</v>
      </c>
      <c r="AP248" s="22">
        <f>G248*(1-0.167975779344861)</f>
        <v>27.540001703685103</v>
      </c>
      <c r="AQ248" s="38" t="s">
        <v>13</v>
      </c>
      <c r="AV248" s="22">
        <f>AW248+AX248</f>
        <v>11748.646400000001</v>
      </c>
      <c r="AW248" s="22">
        <f>F248*AO248</f>
        <v>1973.4880352871955</v>
      </c>
      <c r="AX248" s="22">
        <f>F248*AP248</f>
        <v>9775.1583647128064</v>
      </c>
      <c r="AY248" s="77" t="s">
        <v>911</v>
      </c>
      <c r="AZ248" s="77" t="s">
        <v>927</v>
      </c>
      <c r="BA248" s="34" t="s">
        <v>934</v>
      </c>
      <c r="BC248" s="22">
        <f>AW248+AX248</f>
        <v>11748.646400000001</v>
      </c>
      <c r="BD248" s="22">
        <f>G248/(100-BE248)*100</f>
        <v>33.1</v>
      </c>
      <c r="BE248" s="22">
        <v>0</v>
      </c>
      <c r="BF248" s="22">
        <f>L248</f>
        <v>1.7747200000000001E-2</v>
      </c>
      <c r="BH248" s="5">
        <f>F248*AO248</f>
        <v>1973.4880352871955</v>
      </c>
      <c r="BI248" s="5">
        <f>F248*AP248</f>
        <v>9775.1583647128064</v>
      </c>
      <c r="BJ248" s="5">
        <f>F248*G248</f>
        <v>11748.646400000001</v>
      </c>
    </row>
    <row r="249" spans="1:62">
      <c r="A249" s="1" t="s">
        <v>166</v>
      </c>
      <c r="B249" s="1" t="s">
        <v>658</v>
      </c>
      <c r="C249" s="1" t="s">
        <v>385</v>
      </c>
      <c r="D249" s="1" t="s">
        <v>596</v>
      </c>
      <c r="E249" s="1" t="s">
        <v>640</v>
      </c>
      <c r="F249" s="5">
        <f>'Rozpočet - vybrané sloupce'!AN202</f>
        <v>789.6</v>
      </c>
      <c r="G249" s="5">
        <f>'Rozpočet - vybrané sloupce'!AS202</f>
        <v>29.3</v>
      </c>
      <c r="H249" s="5">
        <f>F249*AO249</f>
        <v>4390.1760000000086</v>
      </c>
      <c r="I249" s="5">
        <f>F249*AP249</f>
        <v>18745.103999999992</v>
      </c>
      <c r="J249" s="5">
        <f>F249*G249</f>
        <v>23135.280000000002</v>
      </c>
      <c r="K249" s="5">
        <v>5.0000000000000002E-5</v>
      </c>
      <c r="L249" s="5">
        <f>F249*K249</f>
        <v>3.9480000000000001E-2</v>
      </c>
      <c r="M249" s="38" t="s">
        <v>653</v>
      </c>
      <c r="Z249" s="22">
        <f>IF(AQ249="5",BJ249,0)</f>
        <v>0</v>
      </c>
      <c r="AB249" s="22">
        <f>IF(AQ249="1",BH249,0)</f>
        <v>0</v>
      </c>
      <c r="AC249" s="22">
        <f>IF(AQ249="1",BI249,0)</f>
        <v>0</v>
      </c>
      <c r="AD249" s="22">
        <f>IF(AQ249="7",BH249,0)</f>
        <v>4390.1760000000086</v>
      </c>
      <c r="AE249" s="22">
        <f>IF(AQ249="7",BI249,0)</f>
        <v>18745.103999999992</v>
      </c>
      <c r="AF249" s="22">
        <f>IF(AQ249="2",BH249,0)</f>
        <v>0</v>
      </c>
      <c r="AG249" s="22">
        <f>IF(AQ249="2",BI249,0)</f>
        <v>0</v>
      </c>
      <c r="AH249" s="22">
        <f>IF(AQ249="0",BJ249,0)</f>
        <v>0</v>
      </c>
      <c r="AI249" s="34" t="s">
        <v>658</v>
      </c>
      <c r="AJ249" s="5">
        <f>IF(AN249=0,J249,0)</f>
        <v>0</v>
      </c>
      <c r="AK249" s="5">
        <f>IF(AN249=15,J249,0)</f>
        <v>0</v>
      </c>
      <c r="AL249" s="5">
        <f>IF(AN249=21,J249,0)</f>
        <v>23135.280000000002</v>
      </c>
      <c r="AN249" s="22">
        <v>21</v>
      </c>
      <c r="AO249" s="22">
        <f>G249*0.189761092150171</f>
        <v>5.5600000000000103</v>
      </c>
      <c r="AP249" s="22">
        <f>G249*(1-0.189761092150171)</f>
        <v>23.739999999999991</v>
      </c>
      <c r="AQ249" s="38" t="s">
        <v>13</v>
      </c>
      <c r="AV249" s="22">
        <f>AW249+AX249</f>
        <v>23135.279999999999</v>
      </c>
      <c r="AW249" s="22">
        <f>F249*AO249</f>
        <v>4390.1760000000086</v>
      </c>
      <c r="AX249" s="22">
        <f>F249*AP249</f>
        <v>18745.103999999992</v>
      </c>
      <c r="AY249" s="77" t="s">
        <v>911</v>
      </c>
      <c r="AZ249" s="77" t="s">
        <v>927</v>
      </c>
      <c r="BA249" s="34" t="s">
        <v>934</v>
      </c>
      <c r="BC249" s="22">
        <f>AW249+AX249</f>
        <v>23135.279999999999</v>
      </c>
      <c r="BD249" s="22">
        <f>G249/(100-BE249)*100</f>
        <v>29.299999999999997</v>
      </c>
      <c r="BE249" s="22">
        <v>0</v>
      </c>
      <c r="BF249" s="22">
        <f>L249</f>
        <v>3.9480000000000001E-2</v>
      </c>
      <c r="BH249" s="5">
        <f>F249*AO249</f>
        <v>4390.1760000000086</v>
      </c>
      <c r="BI249" s="5">
        <f>F249*AP249</f>
        <v>18745.103999999992</v>
      </c>
      <c r="BJ249" s="5">
        <f>F249*G249</f>
        <v>23135.280000000002</v>
      </c>
    </row>
    <row r="250" spans="1:62">
      <c r="A250" s="2" t="s">
        <v>167</v>
      </c>
      <c r="B250" s="2" t="s">
        <v>658</v>
      </c>
      <c r="C250" s="2" t="s">
        <v>386</v>
      </c>
      <c r="D250" s="2" t="s">
        <v>597</v>
      </c>
      <c r="E250" s="2" t="s">
        <v>639</v>
      </c>
      <c r="F250" s="6">
        <f>'Rozpočet - vybrané sloupce'!AN203</f>
        <v>1.2589999999999999</v>
      </c>
      <c r="G250" s="6">
        <f>'Rozpočet - vybrané sloupce'!AS203</f>
        <v>28645.35</v>
      </c>
      <c r="H250" s="6">
        <f>F250*AO250</f>
        <v>36064.495649999997</v>
      </c>
      <c r="I250" s="6">
        <f>F250*AP250</f>
        <v>0</v>
      </c>
      <c r="J250" s="6">
        <f>F250*G250</f>
        <v>36064.495649999997</v>
      </c>
      <c r="K250" s="6">
        <v>1</v>
      </c>
      <c r="L250" s="6">
        <f>F250*K250</f>
        <v>1.2589999999999999</v>
      </c>
      <c r="M250" s="39" t="s">
        <v>653</v>
      </c>
      <c r="Z250" s="22">
        <f>IF(AQ250="5",BJ250,0)</f>
        <v>0</v>
      </c>
      <c r="AB250" s="22">
        <f>IF(AQ250="1",BH250,0)</f>
        <v>0</v>
      </c>
      <c r="AC250" s="22">
        <f>IF(AQ250="1",BI250,0)</f>
        <v>0</v>
      </c>
      <c r="AD250" s="22">
        <f>IF(AQ250="7",BH250,0)</f>
        <v>36064.495649999997</v>
      </c>
      <c r="AE250" s="22">
        <f>IF(AQ250="7",BI250,0)</f>
        <v>0</v>
      </c>
      <c r="AF250" s="22">
        <f>IF(AQ250="2",BH250,0)</f>
        <v>0</v>
      </c>
      <c r="AG250" s="22">
        <f>IF(AQ250="2",BI250,0)</f>
        <v>0</v>
      </c>
      <c r="AH250" s="22">
        <f>IF(AQ250="0",BJ250,0)</f>
        <v>0</v>
      </c>
      <c r="AI250" s="34" t="s">
        <v>658</v>
      </c>
      <c r="AJ250" s="6">
        <f>IF(AN250=0,J250,0)</f>
        <v>0</v>
      </c>
      <c r="AK250" s="6">
        <f>IF(AN250=15,J250,0)</f>
        <v>0</v>
      </c>
      <c r="AL250" s="6">
        <f>IF(AN250=21,J250,0)</f>
        <v>36064.495649999997</v>
      </c>
      <c r="AN250" s="22">
        <v>21</v>
      </c>
      <c r="AO250" s="22">
        <f>G250*1</f>
        <v>28645.35</v>
      </c>
      <c r="AP250" s="22">
        <f>G250*(1-1)</f>
        <v>0</v>
      </c>
      <c r="AQ250" s="39" t="s">
        <v>13</v>
      </c>
      <c r="AV250" s="22">
        <f>AW250+AX250</f>
        <v>36064.495649999997</v>
      </c>
      <c r="AW250" s="22">
        <f>F250*AO250</f>
        <v>36064.495649999997</v>
      </c>
      <c r="AX250" s="22">
        <f>F250*AP250</f>
        <v>0</v>
      </c>
      <c r="AY250" s="77" t="s">
        <v>911</v>
      </c>
      <c r="AZ250" s="77" t="s">
        <v>927</v>
      </c>
      <c r="BA250" s="34" t="s">
        <v>934</v>
      </c>
      <c r="BC250" s="22">
        <f>AW250+AX250</f>
        <v>36064.495649999997</v>
      </c>
      <c r="BD250" s="22">
        <f>G250/(100-BE250)*100</f>
        <v>28645.349999999995</v>
      </c>
      <c r="BE250" s="22">
        <v>0</v>
      </c>
      <c r="BF250" s="22">
        <f>L250</f>
        <v>1.2589999999999999</v>
      </c>
      <c r="BH250" s="6">
        <f>F250*AO250</f>
        <v>36064.495649999997</v>
      </c>
      <c r="BI250" s="6">
        <f>F250*AP250</f>
        <v>0</v>
      </c>
      <c r="BJ250" s="6">
        <f>F250*G250</f>
        <v>36064.495649999997</v>
      </c>
    </row>
    <row r="251" spans="1:62">
      <c r="C251" s="67" t="s">
        <v>672</v>
      </c>
      <c r="D251" s="167" t="s">
        <v>805</v>
      </c>
      <c r="E251" s="168"/>
      <c r="F251" s="168"/>
      <c r="G251" s="168"/>
      <c r="H251" s="168"/>
      <c r="I251" s="168"/>
      <c r="J251" s="168"/>
      <c r="K251" s="168"/>
      <c r="L251" s="168"/>
      <c r="M251" s="168"/>
    </row>
    <row r="252" spans="1:62">
      <c r="A252" s="1" t="s">
        <v>168</v>
      </c>
      <c r="B252" s="1" t="s">
        <v>658</v>
      </c>
      <c r="C252" s="1" t="s">
        <v>387</v>
      </c>
      <c r="D252" s="1" t="s">
        <v>598</v>
      </c>
      <c r="E252" s="1" t="s">
        <v>643</v>
      </c>
      <c r="F252" s="5">
        <f>'Rozpočet - vybrané sloupce'!AN204</f>
        <v>2272.7516000000001</v>
      </c>
      <c r="G252" s="5">
        <f>'Rozpočet - vybrané sloupce'!AS204</f>
        <v>1.8</v>
      </c>
      <c r="H252" s="5">
        <f>F252*AO252</f>
        <v>0</v>
      </c>
      <c r="I252" s="5">
        <f>F252*AP252</f>
        <v>4090.9528800000003</v>
      </c>
      <c r="J252" s="5">
        <f>F252*G252</f>
        <v>4090.9528800000003</v>
      </c>
      <c r="K252" s="5">
        <v>0</v>
      </c>
      <c r="L252" s="5">
        <f>F252*K252</f>
        <v>0</v>
      </c>
      <c r="M252" s="38" t="s">
        <v>653</v>
      </c>
      <c r="Z252" s="22">
        <f>IF(AQ252="5",BJ252,0)</f>
        <v>4090.9528800000003</v>
      </c>
      <c r="AB252" s="22">
        <f>IF(AQ252="1",BH252,0)</f>
        <v>0</v>
      </c>
      <c r="AC252" s="22">
        <f>IF(AQ252="1",BI252,0)</f>
        <v>0</v>
      </c>
      <c r="AD252" s="22">
        <f>IF(AQ252="7",BH252,0)</f>
        <v>0</v>
      </c>
      <c r="AE252" s="22">
        <f>IF(AQ252="7",BI252,0)</f>
        <v>0</v>
      </c>
      <c r="AF252" s="22">
        <f>IF(AQ252="2",BH252,0)</f>
        <v>0</v>
      </c>
      <c r="AG252" s="22">
        <f>IF(AQ252="2",BI252,0)</f>
        <v>0</v>
      </c>
      <c r="AH252" s="22">
        <f>IF(AQ252="0",BJ252,0)</f>
        <v>0</v>
      </c>
      <c r="AI252" s="34" t="s">
        <v>658</v>
      </c>
      <c r="AJ252" s="5">
        <f>IF(AN252=0,J252,0)</f>
        <v>0</v>
      </c>
      <c r="AK252" s="5">
        <f>IF(AN252=15,J252,0)</f>
        <v>0</v>
      </c>
      <c r="AL252" s="5">
        <f>IF(AN252=21,J252,0)</f>
        <v>4090.9528800000003</v>
      </c>
      <c r="AN252" s="22">
        <v>21</v>
      </c>
      <c r="AO252" s="22">
        <f>G252*0</f>
        <v>0</v>
      </c>
      <c r="AP252" s="22">
        <f>G252*(1-0)</f>
        <v>1.8</v>
      </c>
      <c r="AQ252" s="38" t="s">
        <v>11</v>
      </c>
      <c r="AV252" s="22">
        <f>AW252+AX252</f>
        <v>4090.9528800000003</v>
      </c>
      <c r="AW252" s="22">
        <f>F252*AO252</f>
        <v>0</v>
      </c>
      <c r="AX252" s="22">
        <f>F252*AP252</f>
        <v>4090.9528800000003</v>
      </c>
      <c r="AY252" s="77" t="s">
        <v>911</v>
      </c>
      <c r="AZ252" s="77" t="s">
        <v>927</v>
      </c>
      <c r="BA252" s="34" t="s">
        <v>934</v>
      </c>
      <c r="BC252" s="22">
        <f>AW252+AX252</f>
        <v>4090.9528800000003</v>
      </c>
      <c r="BD252" s="22">
        <f>G252/(100-BE252)*100</f>
        <v>1.8000000000000003</v>
      </c>
      <c r="BE252" s="22">
        <v>0</v>
      </c>
      <c r="BF252" s="22">
        <f>L252</f>
        <v>0</v>
      </c>
      <c r="BH252" s="5">
        <f>F252*AO252</f>
        <v>0</v>
      </c>
      <c r="BI252" s="5">
        <f>F252*AP252</f>
        <v>4090.9528800000003</v>
      </c>
      <c r="BJ252" s="5">
        <f>F252*G252</f>
        <v>4090.9528800000003</v>
      </c>
    </row>
    <row r="253" spans="1:62">
      <c r="A253" s="59"/>
      <c r="B253" s="28" t="s">
        <v>658</v>
      </c>
      <c r="C253" s="28" t="s">
        <v>388</v>
      </c>
      <c r="D253" s="28" t="s">
        <v>599</v>
      </c>
      <c r="E253" s="59" t="s">
        <v>6</v>
      </c>
      <c r="F253" s="59" t="s">
        <v>6</v>
      </c>
      <c r="G253" s="59" t="s">
        <v>6</v>
      </c>
      <c r="H253" s="8">
        <f>SUM(H254:H256)</f>
        <v>11245.008362794484</v>
      </c>
      <c r="I253" s="8">
        <f>SUM(I254:I256)</f>
        <v>23611.717393205516</v>
      </c>
      <c r="J253" s="8">
        <f>SUM(J254:J256)</f>
        <v>34856.725756</v>
      </c>
      <c r="K253" s="34"/>
      <c r="L253" s="8">
        <f>SUM(L254:L256)</f>
        <v>6.1351408000000003E-2</v>
      </c>
      <c r="M253" s="34"/>
      <c r="AI253" s="34" t="s">
        <v>658</v>
      </c>
      <c r="AS253" s="8">
        <f>SUM(AJ254:AJ256)</f>
        <v>0</v>
      </c>
      <c r="AT253" s="8">
        <f>SUM(AK254:AK256)</f>
        <v>0</v>
      </c>
      <c r="AU253" s="8">
        <f>SUM(AL254:AL256)</f>
        <v>34856.725756</v>
      </c>
    </row>
    <row r="254" spans="1:62">
      <c r="A254" s="1" t="s">
        <v>169</v>
      </c>
      <c r="B254" s="1" t="s">
        <v>658</v>
      </c>
      <c r="C254" s="1" t="s">
        <v>389</v>
      </c>
      <c r="D254" s="1" t="s">
        <v>600</v>
      </c>
      <c r="E254" s="1" t="s">
        <v>636</v>
      </c>
      <c r="F254" s="5">
        <f>'Rozpočet - vybrané sloupce'!AN206</f>
        <v>153.9956</v>
      </c>
      <c r="G254" s="5">
        <f>'Rozpočet - vybrané sloupce'!AS206</f>
        <v>194.51</v>
      </c>
      <c r="H254" s="5">
        <f>F254*AO254</f>
        <v>9589.3073424927989</v>
      </c>
      <c r="I254" s="5">
        <f>F254*AP254</f>
        <v>20364.376813507202</v>
      </c>
      <c r="J254" s="5">
        <f>F254*G254</f>
        <v>29953.684155999999</v>
      </c>
      <c r="K254" s="5">
        <v>3.2000000000000003E-4</v>
      </c>
      <c r="L254" s="5">
        <f>F254*K254</f>
        <v>4.9278592000000003E-2</v>
      </c>
      <c r="M254" s="38" t="s">
        <v>653</v>
      </c>
      <c r="Z254" s="22">
        <f>IF(AQ254="5",BJ254,0)</f>
        <v>0</v>
      </c>
      <c r="AB254" s="22">
        <f>IF(AQ254="1",BH254,0)</f>
        <v>0</v>
      </c>
      <c r="AC254" s="22">
        <f>IF(AQ254="1",BI254,0)</f>
        <v>0</v>
      </c>
      <c r="AD254" s="22">
        <f>IF(AQ254="7",BH254,0)</f>
        <v>9589.3073424927989</v>
      </c>
      <c r="AE254" s="22">
        <f>IF(AQ254="7",BI254,0)</f>
        <v>20364.376813507202</v>
      </c>
      <c r="AF254" s="22">
        <f>IF(AQ254="2",BH254,0)</f>
        <v>0</v>
      </c>
      <c r="AG254" s="22">
        <f>IF(AQ254="2",BI254,0)</f>
        <v>0</v>
      </c>
      <c r="AH254" s="22">
        <f>IF(AQ254="0",BJ254,0)</f>
        <v>0</v>
      </c>
      <c r="AI254" s="34" t="s">
        <v>658</v>
      </c>
      <c r="AJ254" s="5">
        <f>IF(AN254=0,J254,0)</f>
        <v>0</v>
      </c>
      <c r="AK254" s="5">
        <f>IF(AN254=15,J254,0)</f>
        <v>0</v>
      </c>
      <c r="AL254" s="5">
        <f>IF(AN254=21,J254,0)</f>
        <v>29953.684155999999</v>
      </c>
      <c r="AN254" s="22">
        <v>21</v>
      </c>
      <c r="AO254" s="22">
        <f>G254*0.320137826537507</f>
        <v>62.270008639810484</v>
      </c>
      <c r="AP254" s="22">
        <f>G254*(1-0.320137826537507)</f>
        <v>132.23999136018952</v>
      </c>
      <c r="AQ254" s="38" t="s">
        <v>13</v>
      </c>
      <c r="AV254" s="22">
        <f>AW254+AX254</f>
        <v>29953.684156000003</v>
      </c>
      <c r="AW254" s="22">
        <f>F254*AO254</f>
        <v>9589.3073424927989</v>
      </c>
      <c r="AX254" s="22">
        <f>F254*AP254</f>
        <v>20364.376813507202</v>
      </c>
      <c r="AY254" s="77" t="s">
        <v>912</v>
      </c>
      <c r="AZ254" s="77" t="s">
        <v>928</v>
      </c>
      <c r="BA254" s="34" t="s">
        <v>934</v>
      </c>
      <c r="BC254" s="22">
        <f>AW254+AX254</f>
        <v>29953.684156000003</v>
      </c>
      <c r="BD254" s="22">
        <f>G254/(100-BE254)*100</f>
        <v>194.51</v>
      </c>
      <c r="BE254" s="22">
        <v>0</v>
      </c>
      <c r="BF254" s="22">
        <f>L254</f>
        <v>4.9278592000000003E-2</v>
      </c>
      <c r="BH254" s="5">
        <f>F254*AO254</f>
        <v>9589.3073424927989</v>
      </c>
      <c r="BI254" s="5">
        <f>F254*AP254</f>
        <v>20364.376813507202</v>
      </c>
      <c r="BJ254" s="5">
        <f>F254*G254</f>
        <v>29953.684155999999</v>
      </c>
    </row>
    <row r="255" spans="1:62">
      <c r="C255" s="67" t="s">
        <v>672</v>
      </c>
      <c r="D255" s="167" t="s">
        <v>806</v>
      </c>
      <c r="E255" s="168"/>
      <c r="F255" s="168"/>
      <c r="G255" s="168"/>
      <c r="H255" s="168"/>
      <c r="I255" s="168"/>
      <c r="J255" s="168"/>
      <c r="K255" s="168"/>
      <c r="L255" s="168"/>
      <c r="M255" s="168"/>
    </row>
    <row r="256" spans="1:62">
      <c r="A256" s="1" t="s">
        <v>170</v>
      </c>
      <c r="B256" s="1" t="s">
        <v>658</v>
      </c>
      <c r="C256" s="1" t="s">
        <v>390</v>
      </c>
      <c r="D256" s="1" t="s">
        <v>601</v>
      </c>
      <c r="E256" s="1" t="s">
        <v>636</v>
      </c>
      <c r="F256" s="5">
        <f>'Rozpočet - vybrané sloupce'!AN207</f>
        <v>24.638400000000001</v>
      </c>
      <c r="G256" s="5">
        <f>'Rozpočet - vybrané sloupce'!AS207</f>
        <v>199</v>
      </c>
      <c r="H256" s="5">
        <f>F256*AO256</f>
        <v>1655.7010203016846</v>
      </c>
      <c r="I256" s="5">
        <f>F256*AP256</f>
        <v>3247.3405796983152</v>
      </c>
      <c r="J256" s="5">
        <f>F256*G256</f>
        <v>4903.0416000000005</v>
      </c>
      <c r="K256" s="5">
        <v>4.8999999999999998E-4</v>
      </c>
      <c r="L256" s="5">
        <f>F256*K256</f>
        <v>1.2072816E-2</v>
      </c>
      <c r="M256" s="38" t="s">
        <v>653</v>
      </c>
      <c r="Z256" s="22">
        <f>IF(AQ256="5",BJ256,0)</f>
        <v>0</v>
      </c>
      <c r="AB256" s="22">
        <f>IF(AQ256="1",BH256,0)</f>
        <v>0</v>
      </c>
      <c r="AC256" s="22">
        <f>IF(AQ256="1",BI256,0)</f>
        <v>0</v>
      </c>
      <c r="AD256" s="22">
        <f>IF(AQ256="7",BH256,0)</f>
        <v>1655.7010203016846</v>
      </c>
      <c r="AE256" s="22">
        <f>IF(AQ256="7",BI256,0)</f>
        <v>3247.3405796983152</v>
      </c>
      <c r="AF256" s="22">
        <f>IF(AQ256="2",BH256,0)</f>
        <v>0</v>
      </c>
      <c r="AG256" s="22">
        <f>IF(AQ256="2",BI256,0)</f>
        <v>0</v>
      </c>
      <c r="AH256" s="22">
        <f>IF(AQ256="0",BJ256,0)</f>
        <v>0</v>
      </c>
      <c r="AI256" s="34" t="s">
        <v>658</v>
      </c>
      <c r="AJ256" s="5">
        <f>IF(AN256=0,J256,0)</f>
        <v>0</v>
      </c>
      <c r="AK256" s="5">
        <f>IF(AN256=15,J256,0)</f>
        <v>0</v>
      </c>
      <c r="AL256" s="5">
        <f>IF(AN256=21,J256,0)</f>
        <v>4903.0416000000005</v>
      </c>
      <c r="AN256" s="22">
        <v>21</v>
      </c>
      <c r="AO256" s="22">
        <f>G256*0.337688552408302</f>
        <v>67.200021929252088</v>
      </c>
      <c r="AP256" s="22">
        <f>G256*(1-0.337688552408302)</f>
        <v>131.7999780707479</v>
      </c>
      <c r="AQ256" s="38" t="s">
        <v>13</v>
      </c>
      <c r="AV256" s="22">
        <f>AW256+AX256</f>
        <v>4903.0415999999996</v>
      </c>
      <c r="AW256" s="22">
        <f>F256*AO256</f>
        <v>1655.7010203016846</v>
      </c>
      <c r="AX256" s="22">
        <f>F256*AP256</f>
        <v>3247.3405796983152</v>
      </c>
      <c r="AY256" s="77" t="s">
        <v>912</v>
      </c>
      <c r="AZ256" s="77" t="s">
        <v>928</v>
      </c>
      <c r="BA256" s="34" t="s">
        <v>934</v>
      </c>
      <c r="BC256" s="22">
        <f>AW256+AX256</f>
        <v>4903.0415999999996</v>
      </c>
      <c r="BD256" s="22">
        <f>G256/(100-BE256)*100</f>
        <v>199</v>
      </c>
      <c r="BE256" s="22">
        <v>0</v>
      </c>
      <c r="BF256" s="22">
        <f>L256</f>
        <v>1.2072816E-2</v>
      </c>
      <c r="BH256" s="5">
        <f>F256*AO256</f>
        <v>1655.7010203016846</v>
      </c>
      <c r="BI256" s="5">
        <f>F256*AP256</f>
        <v>3247.3405796983152</v>
      </c>
      <c r="BJ256" s="5">
        <f>F256*G256</f>
        <v>4903.0416000000005</v>
      </c>
    </row>
    <row r="257" spans="1:62">
      <c r="D257" s="3" t="s">
        <v>602</v>
      </c>
    </row>
    <row r="258" spans="1:62">
      <c r="A258" s="59"/>
      <c r="B258" s="28" t="s">
        <v>658</v>
      </c>
      <c r="C258" s="28" t="s">
        <v>95</v>
      </c>
      <c r="D258" s="28" t="s">
        <v>603</v>
      </c>
      <c r="E258" s="59" t="s">
        <v>6</v>
      </c>
      <c r="F258" s="59" t="s">
        <v>6</v>
      </c>
      <c r="G258" s="59" t="s">
        <v>6</v>
      </c>
      <c r="H258" s="8">
        <f>SUM(H259:H261)</f>
        <v>20840.899999999998</v>
      </c>
      <c r="I258" s="8">
        <f>SUM(I259:I261)</f>
        <v>13174.080000000004</v>
      </c>
      <c r="J258" s="8">
        <f>SUM(J259:J261)</f>
        <v>34014.979999999996</v>
      </c>
      <c r="K258" s="34"/>
      <c r="L258" s="8">
        <f>SUM(L259:L261)</f>
        <v>5.8704499999999999</v>
      </c>
      <c r="M258" s="34"/>
      <c r="AI258" s="34" t="s">
        <v>658</v>
      </c>
      <c r="AS258" s="8">
        <f>SUM(AJ259:AJ261)</f>
        <v>0</v>
      </c>
      <c r="AT258" s="8">
        <f>SUM(AK259:AK261)</f>
        <v>0</v>
      </c>
      <c r="AU258" s="8">
        <f>SUM(AL259:AL261)</f>
        <v>34014.979999999996</v>
      </c>
    </row>
    <row r="259" spans="1:62">
      <c r="A259" s="1" t="s">
        <v>171</v>
      </c>
      <c r="B259" s="1" t="s">
        <v>658</v>
      </c>
      <c r="C259" s="1" t="s">
        <v>391</v>
      </c>
      <c r="D259" s="1" t="s">
        <v>604</v>
      </c>
      <c r="E259" s="1" t="s">
        <v>637</v>
      </c>
      <c r="F259" s="5">
        <f>'Rozpočet - vybrané sloupce'!AN210</f>
        <v>5</v>
      </c>
      <c r="G259" s="5">
        <f>'Rozpočet - vybrané sloupce'!AS210</f>
        <v>2325</v>
      </c>
      <c r="H259" s="5">
        <f>F259*AO259</f>
        <v>3709.4000000000028</v>
      </c>
      <c r="I259" s="5">
        <f>F259*AP259</f>
        <v>7915.5999999999967</v>
      </c>
      <c r="J259" s="5">
        <f>F259*G259</f>
        <v>11625</v>
      </c>
      <c r="K259" s="5">
        <v>0.43093999999999999</v>
      </c>
      <c r="L259" s="5">
        <f>F259*K259</f>
        <v>2.1547000000000001</v>
      </c>
      <c r="M259" s="38" t="s">
        <v>653</v>
      </c>
      <c r="Z259" s="22">
        <f>IF(AQ259="5",BJ259,0)</f>
        <v>0</v>
      </c>
      <c r="AB259" s="22">
        <f>IF(AQ259="1",BH259,0)</f>
        <v>3709.4000000000028</v>
      </c>
      <c r="AC259" s="22">
        <f>IF(AQ259="1",BI259,0)</f>
        <v>7915.5999999999967</v>
      </c>
      <c r="AD259" s="22">
        <f>IF(AQ259="7",BH259,0)</f>
        <v>0</v>
      </c>
      <c r="AE259" s="22">
        <f>IF(AQ259="7",BI259,0)</f>
        <v>0</v>
      </c>
      <c r="AF259" s="22">
        <f>IF(AQ259="2",BH259,0)</f>
        <v>0</v>
      </c>
      <c r="AG259" s="22">
        <f>IF(AQ259="2",BI259,0)</f>
        <v>0</v>
      </c>
      <c r="AH259" s="22">
        <f>IF(AQ259="0",BJ259,0)</f>
        <v>0</v>
      </c>
      <c r="AI259" s="34" t="s">
        <v>658</v>
      </c>
      <c r="AJ259" s="5">
        <f>IF(AN259=0,J259,0)</f>
        <v>0</v>
      </c>
      <c r="AK259" s="5">
        <f>IF(AN259=15,J259,0)</f>
        <v>0</v>
      </c>
      <c r="AL259" s="5">
        <f>IF(AN259=21,J259,0)</f>
        <v>11625</v>
      </c>
      <c r="AN259" s="22">
        <v>21</v>
      </c>
      <c r="AO259" s="22">
        <f>G259*0.319088172043011</f>
        <v>741.88000000000056</v>
      </c>
      <c r="AP259" s="22">
        <f>G259*(1-0.319088172043011)</f>
        <v>1583.1199999999994</v>
      </c>
      <c r="AQ259" s="38" t="s">
        <v>7</v>
      </c>
      <c r="AV259" s="22">
        <f>AW259+AX259</f>
        <v>11625</v>
      </c>
      <c r="AW259" s="22">
        <f>F259*AO259</f>
        <v>3709.4000000000028</v>
      </c>
      <c r="AX259" s="22">
        <f>F259*AP259</f>
        <v>7915.5999999999967</v>
      </c>
      <c r="AY259" s="77" t="s">
        <v>913</v>
      </c>
      <c r="AZ259" s="77" t="s">
        <v>929</v>
      </c>
      <c r="BA259" s="34" t="s">
        <v>934</v>
      </c>
      <c r="BC259" s="22">
        <f>AW259+AX259</f>
        <v>11625</v>
      </c>
      <c r="BD259" s="22">
        <f>G259/(100-BE259)*100</f>
        <v>2325</v>
      </c>
      <c r="BE259" s="22">
        <v>0</v>
      </c>
      <c r="BF259" s="22">
        <f>L259</f>
        <v>2.1547000000000001</v>
      </c>
      <c r="BH259" s="5">
        <f>F259*AO259</f>
        <v>3709.4000000000028</v>
      </c>
      <c r="BI259" s="5">
        <f>F259*AP259</f>
        <v>7915.5999999999967</v>
      </c>
      <c r="BJ259" s="5">
        <f>F259*G259</f>
        <v>11625</v>
      </c>
    </row>
    <row r="260" spans="1:62">
      <c r="A260" s="1" t="s">
        <v>172</v>
      </c>
      <c r="B260" s="1" t="s">
        <v>658</v>
      </c>
      <c r="C260" s="1" t="s">
        <v>392</v>
      </c>
      <c r="D260" s="1" t="s">
        <v>605</v>
      </c>
      <c r="E260" s="1" t="s">
        <v>637</v>
      </c>
      <c r="F260" s="5">
        <f>'Rozpočet - vybrané sloupce'!AN211</f>
        <v>1</v>
      </c>
      <c r="G260" s="5">
        <f>'Rozpočet - vybrané sloupce'!AS211</f>
        <v>1750</v>
      </c>
      <c r="H260" s="5">
        <f>F260*AO260</f>
        <v>645.96999999999946</v>
      </c>
      <c r="I260" s="5">
        <f>F260*AP260</f>
        <v>1104.0300000000004</v>
      </c>
      <c r="J260" s="5">
        <f>F260*G260</f>
        <v>1750</v>
      </c>
      <c r="K260" s="5">
        <v>0.32973999999999998</v>
      </c>
      <c r="L260" s="5">
        <f>F260*K260</f>
        <v>0.32973999999999998</v>
      </c>
      <c r="M260" s="38" t="s">
        <v>653</v>
      </c>
      <c r="Z260" s="22">
        <f>IF(AQ260="5",BJ260,0)</f>
        <v>0</v>
      </c>
      <c r="AB260" s="22">
        <f>IF(AQ260="1",BH260,0)</f>
        <v>645.96999999999946</v>
      </c>
      <c r="AC260" s="22">
        <f>IF(AQ260="1",BI260,0)</f>
        <v>1104.0300000000004</v>
      </c>
      <c r="AD260" s="22">
        <f>IF(AQ260="7",BH260,0)</f>
        <v>0</v>
      </c>
      <c r="AE260" s="22">
        <f>IF(AQ260="7",BI260,0)</f>
        <v>0</v>
      </c>
      <c r="AF260" s="22">
        <f>IF(AQ260="2",BH260,0)</f>
        <v>0</v>
      </c>
      <c r="AG260" s="22">
        <f>IF(AQ260="2",BI260,0)</f>
        <v>0</v>
      </c>
      <c r="AH260" s="22">
        <f>IF(AQ260="0",BJ260,0)</f>
        <v>0</v>
      </c>
      <c r="AI260" s="34" t="s">
        <v>658</v>
      </c>
      <c r="AJ260" s="5">
        <f>IF(AN260=0,J260,0)</f>
        <v>0</v>
      </c>
      <c r="AK260" s="5">
        <f>IF(AN260=15,J260,0)</f>
        <v>0</v>
      </c>
      <c r="AL260" s="5">
        <f>IF(AN260=21,J260,0)</f>
        <v>1750</v>
      </c>
      <c r="AN260" s="22">
        <v>21</v>
      </c>
      <c r="AO260" s="22">
        <f>G260*0.369125714285714</f>
        <v>645.96999999999946</v>
      </c>
      <c r="AP260" s="22">
        <f>G260*(1-0.369125714285714)</f>
        <v>1104.0300000000004</v>
      </c>
      <c r="AQ260" s="38" t="s">
        <v>7</v>
      </c>
      <c r="AV260" s="22">
        <f>AW260+AX260</f>
        <v>1750</v>
      </c>
      <c r="AW260" s="22">
        <f>F260*AO260</f>
        <v>645.96999999999946</v>
      </c>
      <c r="AX260" s="22">
        <f>F260*AP260</f>
        <v>1104.0300000000004</v>
      </c>
      <c r="AY260" s="77" t="s">
        <v>913</v>
      </c>
      <c r="AZ260" s="77" t="s">
        <v>929</v>
      </c>
      <c r="BA260" s="34" t="s">
        <v>934</v>
      </c>
      <c r="BC260" s="22">
        <f>AW260+AX260</f>
        <v>1750</v>
      </c>
      <c r="BD260" s="22">
        <f>G260/(100-BE260)*100</f>
        <v>1750</v>
      </c>
      <c r="BE260" s="22">
        <v>0</v>
      </c>
      <c r="BF260" s="22">
        <f>L260</f>
        <v>0.32973999999999998</v>
      </c>
      <c r="BH260" s="5">
        <f>F260*AO260</f>
        <v>645.96999999999946</v>
      </c>
      <c r="BI260" s="5">
        <f>F260*AP260</f>
        <v>1104.0300000000004</v>
      </c>
      <c r="BJ260" s="5">
        <f>F260*G260</f>
        <v>1750</v>
      </c>
    </row>
    <row r="261" spans="1:62">
      <c r="A261" s="1" t="s">
        <v>173</v>
      </c>
      <c r="B261" s="1" t="s">
        <v>658</v>
      </c>
      <c r="C261" s="1" t="s">
        <v>393</v>
      </c>
      <c r="D261" s="1" t="s">
        <v>606</v>
      </c>
      <c r="E261" s="1" t="s">
        <v>637</v>
      </c>
      <c r="F261" s="5">
        <f>'Rozpočet - vybrané sloupce'!AN212</f>
        <v>1</v>
      </c>
      <c r="G261" s="5">
        <f>'Rozpočet - vybrané sloupce'!AS212</f>
        <v>20639.98</v>
      </c>
      <c r="H261" s="5">
        <f>F261*AO261</f>
        <v>16485.529999999995</v>
      </c>
      <c r="I261" s="5">
        <f>F261*AP261</f>
        <v>4154.4500000000062</v>
      </c>
      <c r="J261" s="5">
        <f>F261*G261</f>
        <v>20639.98</v>
      </c>
      <c r="K261" s="5">
        <v>3.3860100000000002</v>
      </c>
      <c r="L261" s="5">
        <f>F261*K261</f>
        <v>3.3860100000000002</v>
      </c>
      <c r="M261" s="38" t="s">
        <v>653</v>
      </c>
      <c r="Z261" s="22">
        <f>IF(AQ261="5",BJ261,0)</f>
        <v>0</v>
      </c>
      <c r="AB261" s="22">
        <f>IF(AQ261="1",BH261,0)</f>
        <v>16485.529999999995</v>
      </c>
      <c r="AC261" s="22">
        <f>IF(AQ261="1",BI261,0)</f>
        <v>4154.4500000000062</v>
      </c>
      <c r="AD261" s="22">
        <f>IF(AQ261="7",BH261,0)</f>
        <v>0</v>
      </c>
      <c r="AE261" s="22">
        <f>IF(AQ261="7",BI261,0)</f>
        <v>0</v>
      </c>
      <c r="AF261" s="22">
        <f>IF(AQ261="2",BH261,0)</f>
        <v>0</v>
      </c>
      <c r="AG261" s="22">
        <f>IF(AQ261="2",BI261,0)</f>
        <v>0</v>
      </c>
      <c r="AH261" s="22">
        <f>IF(AQ261="0",BJ261,0)</f>
        <v>0</v>
      </c>
      <c r="AI261" s="34" t="s">
        <v>658</v>
      </c>
      <c r="AJ261" s="5">
        <f>IF(AN261=0,J261,0)</f>
        <v>0</v>
      </c>
      <c r="AK261" s="5">
        <f>IF(AN261=15,J261,0)</f>
        <v>0</v>
      </c>
      <c r="AL261" s="5">
        <f>IF(AN261=21,J261,0)</f>
        <v>20639.98</v>
      </c>
      <c r="AN261" s="22">
        <v>21</v>
      </c>
      <c r="AO261" s="22">
        <f>G261*0.798718312711543</f>
        <v>16485.529999999995</v>
      </c>
      <c r="AP261" s="22">
        <f>G261*(1-0.798718312711543)</f>
        <v>4154.4500000000062</v>
      </c>
      <c r="AQ261" s="38" t="s">
        <v>7</v>
      </c>
      <c r="AV261" s="22">
        <f>AW261+AX261</f>
        <v>20639.980000000003</v>
      </c>
      <c r="AW261" s="22">
        <f>F261*AO261</f>
        <v>16485.529999999995</v>
      </c>
      <c r="AX261" s="22">
        <f>F261*AP261</f>
        <v>4154.4500000000062</v>
      </c>
      <c r="AY261" s="77" t="s">
        <v>913</v>
      </c>
      <c r="AZ261" s="77" t="s">
        <v>929</v>
      </c>
      <c r="BA261" s="34" t="s">
        <v>934</v>
      </c>
      <c r="BC261" s="22">
        <f>AW261+AX261</f>
        <v>20639.980000000003</v>
      </c>
      <c r="BD261" s="22">
        <f>G261/(100-BE261)*100</f>
        <v>20639.98</v>
      </c>
      <c r="BE261" s="22">
        <v>0</v>
      </c>
      <c r="BF261" s="22">
        <f>L261</f>
        <v>3.3860100000000002</v>
      </c>
      <c r="BH261" s="5">
        <f>F261*AO261</f>
        <v>16485.529999999995</v>
      </c>
      <c r="BI261" s="5">
        <f>F261*AP261</f>
        <v>4154.4500000000062</v>
      </c>
      <c r="BJ261" s="5">
        <f>F261*G261</f>
        <v>20639.98</v>
      </c>
    </row>
    <row r="262" spans="1:62">
      <c r="C262" s="67" t="s">
        <v>672</v>
      </c>
      <c r="D262" s="167" t="s">
        <v>811</v>
      </c>
      <c r="E262" s="168"/>
      <c r="F262" s="168"/>
      <c r="G262" s="168"/>
      <c r="H262" s="168"/>
      <c r="I262" s="168"/>
      <c r="J262" s="168"/>
      <c r="K262" s="168"/>
      <c r="L262" s="168"/>
      <c r="M262" s="168"/>
    </row>
    <row r="263" spans="1:62">
      <c r="A263" s="59"/>
      <c r="B263" s="28" t="s">
        <v>658</v>
      </c>
      <c r="C263" s="28" t="s">
        <v>97</v>
      </c>
      <c r="D263" s="28" t="s">
        <v>607</v>
      </c>
      <c r="E263" s="59" t="s">
        <v>6</v>
      </c>
      <c r="F263" s="59" t="s">
        <v>6</v>
      </c>
      <c r="G263" s="59" t="s">
        <v>6</v>
      </c>
      <c r="H263" s="8">
        <f>SUM(H264:H268)</f>
        <v>64183.999999999978</v>
      </c>
      <c r="I263" s="8">
        <f>SUM(I264:I268)</f>
        <v>37240.800000000025</v>
      </c>
      <c r="J263" s="8">
        <f>SUM(J264:J268)</f>
        <v>101424.8</v>
      </c>
      <c r="K263" s="34"/>
      <c r="L263" s="8">
        <f>SUM(L264:L268)</f>
        <v>41.574375000000003</v>
      </c>
      <c r="M263" s="34"/>
      <c r="AI263" s="34" t="s">
        <v>658</v>
      </c>
      <c r="AS263" s="8">
        <f>SUM(AJ264:AJ268)</f>
        <v>0</v>
      </c>
      <c r="AT263" s="8">
        <f>SUM(AK264:AK268)</f>
        <v>0</v>
      </c>
      <c r="AU263" s="8">
        <f>SUM(AL264:AL268)</f>
        <v>101424.8</v>
      </c>
    </row>
    <row r="264" spans="1:62">
      <c r="A264" s="1" t="s">
        <v>174</v>
      </c>
      <c r="B264" s="1" t="s">
        <v>658</v>
      </c>
      <c r="C264" s="1" t="s">
        <v>394</v>
      </c>
      <c r="D264" s="1" t="s">
        <v>608</v>
      </c>
      <c r="E264" s="1" t="s">
        <v>635</v>
      </c>
      <c r="F264" s="5">
        <f>'Rozpočet - vybrané sloupce'!AN214</f>
        <v>187.5</v>
      </c>
      <c r="G264" s="5">
        <f>'Rozpočet - vybrané sloupce'!AS214</f>
        <v>386.5</v>
      </c>
      <c r="H264" s="5">
        <f>F264*AO264</f>
        <v>49428.749999999978</v>
      </c>
      <c r="I264" s="5">
        <f>F264*AP264</f>
        <v>23040.000000000022</v>
      </c>
      <c r="J264" s="5">
        <f>F264*G264</f>
        <v>72468.75</v>
      </c>
      <c r="K264" s="5">
        <v>0.22133</v>
      </c>
      <c r="L264" s="5">
        <f>F264*K264</f>
        <v>41.499375000000001</v>
      </c>
      <c r="M264" s="38" t="s">
        <v>653</v>
      </c>
      <c r="Z264" s="22">
        <f>IF(AQ264="5",BJ264,0)</f>
        <v>0</v>
      </c>
      <c r="AB264" s="22">
        <f>IF(AQ264="1",BH264,0)</f>
        <v>49428.749999999978</v>
      </c>
      <c r="AC264" s="22">
        <f>IF(AQ264="1",BI264,0)</f>
        <v>23040.000000000022</v>
      </c>
      <c r="AD264" s="22">
        <f>IF(AQ264="7",BH264,0)</f>
        <v>0</v>
      </c>
      <c r="AE264" s="22">
        <f>IF(AQ264="7",BI264,0)</f>
        <v>0</v>
      </c>
      <c r="AF264" s="22">
        <f>IF(AQ264="2",BH264,0)</f>
        <v>0</v>
      </c>
      <c r="AG264" s="22">
        <f>IF(AQ264="2",BI264,0)</f>
        <v>0</v>
      </c>
      <c r="AH264" s="22">
        <f>IF(AQ264="0",BJ264,0)</f>
        <v>0</v>
      </c>
      <c r="AI264" s="34" t="s">
        <v>658</v>
      </c>
      <c r="AJ264" s="5">
        <f>IF(AN264=0,J264,0)</f>
        <v>0</v>
      </c>
      <c r="AK264" s="5">
        <f>IF(AN264=15,J264,0)</f>
        <v>0</v>
      </c>
      <c r="AL264" s="5">
        <f>IF(AN264=21,J264,0)</f>
        <v>72468.75</v>
      </c>
      <c r="AN264" s="22">
        <v>21</v>
      </c>
      <c r="AO264" s="22">
        <f>G264*0.682069857697283</f>
        <v>263.61999999999989</v>
      </c>
      <c r="AP264" s="22">
        <f>G264*(1-0.682069857697283)</f>
        <v>122.88000000000012</v>
      </c>
      <c r="AQ264" s="38" t="s">
        <v>7</v>
      </c>
      <c r="AV264" s="22">
        <f>AW264+AX264</f>
        <v>72468.75</v>
      </c>
      <c r="AW264" s="22">
        <f>F264*AO264</f>
        <v>49428.749999999978</v>
      </c>
      <c r="AX264" s="22">
        <f>F264*AP264</f>
        <v>23040.000000000022</v>
      </c>
      <c r="AY264" s="77" t="s">
        <v>914</v>
      </c>
      <c r="AZ264" s="77" t="s">
        <v>930</v>
      </c>
      <c r="BA264" s="34" t="s">
        <v>934</v>
      </c>
      <c r="BC264" s="22">
        <f>AW264+AX264</f>
        <v>72468.75</v>
      </c>
      <c r="BD264" s="22">
        <f>G264/(100-BE264)*100</f>
        <v>386.5</v>
      </c>
      <c r="BE264" s="22">
        <v>0</v>
      </c>
      <c r="BF264" s="22">
        <f>L264</f>
        <v>41.499375000000001</v>
      </c>
      <c r="BH264" s="5">
        <f>F264*AO264</f>
        <v>49428.749999999978</v>
      </c>
      <c r="BI264" s="5">
        <f>F264*AP264</f>
        <v>23040.000000000022</v>
      </c>
      <c r="BJ264" s="5">
        <f>F264*G264</f>
        <v>72468.75</v>
      </c>
    </row>
    <row r="265" spans="1:62">
      <c r="D265" s="3" t="s">
        <v>609</v>
      </c>
    </row>
    <row r="266" spans="1:62">
      <c r="A266" s="1" t="s">
        <v>175</v>
      </c>
      <c r="B266" s="1" t="s">
        <v>658</v>
      </c>
      <c r="C266" s="1" t="s">
        <v>395</v>
      </c>
      <c r="D266" s="1" t="s">
        <v>610</v>
      </c>
      <c r="E266" s="1" t="s">
        <v>635</v>
      </c>
      <c r="F266" s="5">
        <f>'Rozpočet - vybrané sloupce'!AN216</f>
        <v>295.85000000000002</v>
      </c>
      <c r="G266" s="5">
        <f>'Rozpočet - vybrané sloupce'!AS216</f>
        <v>48</v>
      </c>
      <c r="H266" s="5">
        <f>F266*AO266</f>
        <v>0</v>
      </c>
      <c r="I266" s="5">
        <f>F266*AP266</f>
        <v>14200.800000000001</v>
      </c>
      <c r="J266" s="5">
        <f>F266*G266</f>
        <v>14200.800000000001</v>
      </c>
      <c r="K266" s="5">
        <v>0</v>
      </c>
      <c r="L266" s="5">
        <f>F266*K266</f>
        <v>0</v>
      </c>
      <c r="M266" s="38" t="s">
        <v>653</v>
      </c>
      <c r="Z266" s="22">
        <f>IF(AQ266="5",BJ266,0)</f>
        <v>0</v>
      </c>
      <c r="AB266" s="22">
        <f>IF(AQ266="1",BH266,0)</f>
        <v>0</v>
      </c>
      <c r="AC266" s="22">
        <f>IF(AQ266="1",BI266,0)</f>
        <v>14200.800000000001</v>
      </c>
      <c r="AD266" s="22">
        <f>IF(AQ266="7",BH266,0)</f>
        <v>0</v>
      </c>
      <c r="AE266" s="22">
        <f>IF(AQ266="7",BI266,0)</f>
        <v>0</v>
      </c>
      <c r="AF266" s="22">
        <f>IF(AQ266="2",BH266,0)</f>
        <v>0</v>
      </c>
      <c r="AG266" s="22">
        <f>IF(AQ266="2",BI266,0)</f>
        <v>0</v>
      </c>
      <c r="AH266" s="22">
        <f>IF(AQ266="0",BJ266,0)</f>
        <v>0</v>
      </c>
      <c r="AI266" s="34" t="s">
        <v>658</v>
      </c>
      <c r="AJ266" s="5">
        <f>IF(AN266=0,J266,0)</f>
        <v>0</v>
      </c>
      <c r="AK266" s="5">
        <f>IF(AN266=15,J266,0)</f>
        <v>0</v>
      </c>
      <c r="AL266" s="5">
        <f>IF(AN266=21,J266,0)</f>
        <v>14200.800000000001</v>
      </c>
      <c r="AN266" s="22">
        <v>21</v>
      </c>
      <c r="AO266" s="22">
        <f>G266*0</f>
        <v>0</v>
      </c>
      <c r="AP266" s="22">
        <f>G266*(1-0)</f>
        <v>48</v>
      </c>
      <c r="AQ266" s="38" t="s">
        <v>7</v>
      </c>
      <c r="AV266" s="22">
        <f>AW266+AX266</f>
        <v>14200.800000000001</v>
      </c>
      <c r="AW266" s="22">
        <f>F266*AO266</f>
        <v>0</v>
      </c>
      <c r="AX266" s="22">
        <f>F266*AP266</f>
        <v>14200.800000000001</v>
      </c>
      <c r="AY266" s="77" t="s">
        <v>914</v>
      </c>
      <c r="AZ266" s="77" t="s">
        <v>930</v>
      </c>
      <c r="BA266" s="34" t="s">
        <v>934</v>
      </c>
      <c r="BC266" s="22">
        <f>AW266+AX266</f>
        <v>14200.800000000001</v>
      </c>
      <c r="BD266" s="22">
        <f>G266/(100-BE266)*100</f>
        <v>48</v>
      </c>
      <c r="BE266" s="22">
        <v>0</v>
      </c>
      <c r="BF266" s="22">
        <f>L266</f>
        <v>0</v>
      </c>
      <c r="BH266" s="5">
        <f>F266*AO266</f>
        <v>0</v>
      </c>
      <c r="BI266" s="5">
        <f>F266*AP266</f>
        <v>14200.800000000001</v>
      </c>
      <c r="BJ266" s="5">
        <f>F266*G266</f>
        <v>14200.800000000001</v>
      </c>
    </row>
    <row r="267" spans="1:62">
      <c r="C267" s="67" t="s">
        <v>672</v>
      </c>
      <c r="D267" s="167" t="s">
        <v>813</v>
      </c>
      <c r="E267" s="168"/>
      <c r="F267" s="168"/>
      <c r="G267" s="168"/>
      <c r="H267" s="168"/>
      <c r="I267" s="168"/>
      <c r="J267" s="168"/>
      <c r="K267" s="168"/>
      <c r="L267" s="168"/>
      <c r="M267" s="168"/>
    </row>
    <row r="268" spans="1:62">
      <c r="A268" s="2" t="s">
        <v>176</v>
      </c>
      <c r="B268" s="2" t="s">
        <v>658</v>
      </c>
      <c r="C268" s="2" t="s">
        <v>396</v>
      </c>
      <c r="D268" s="2" t="s">
        <v>611</v>
      </c>
      <c r="E268" s="2" t="s">
        <v>637</v>
      </c>
      <c r="F268" s="6">
        <f>'Rozpočet - vybrané sloupce'!AN217</f>
        <v>25</v>
      </c>
      <c r="G268" s="6">
        <f>'Rozpočet - vybrané sloupce'!AS217</f>
        <v>590.21</v>
      </c>
      <c r="H268" s="6">
        <f>F268*AO268</f>
        <v>14755.25</v>
      </c>
      <c r="I268" s="6">
        <f>F268*AP268</f>
        <v>0</v>
      </c>
      <c r="J268" s="6">
        <f>F268*G268</f>
        <v>14755.25</v>
      </c>
      <c r="K268" s="6">
        <v>3.0000000000000001E-3</v>
      </c>
      <c r="L268" s="6">
        <f>F268*K268</f>
        <v>7.4999999999999997E-2</v>
      </c>
      <c r="M268" s="39" t="s">
        <v>653</v>
      </c>
      <c r="Z268" s="22">
        <f>IF(AQ268="5",BJ268,0)</f>
        <v>0</v>
      </c>
      <c r="AB268" s="22">
        <f>IF(AQ268="1",BH268,0)</f>
        <v>14755.25</v>
      </c>
      <c r="AC268" s="22">
        <f>IF(AQ268="1",BI268,0)</f>
        <v>0</v>
      </c>
      <c r="AD268" s="22">
        <f>IF(AQ268="7",BH268,0)</f>
        <v>0</v>
      </c>
      <c r="AE268" s="22">
        <f>IF(AQ268="7",BI268,0)</f>
        <v>0</v>
      </c>
      <c r="AF268" s="22">
        <f>IF(AQ268="2",BH268,0)</f>
        <v>0</v>
      </c>
      <c r="AG268" s="22">
        <f>IF(AQ268="2",BI268,0)</f>
        <v>0</v>
      </c>
      <c r="AH268" s="22">
        <f>IF(AQ268="0",BJ268,0)</f>
        <v>0</v>
      </c>
      <c r="AI268" s="34" t="s">
        <v>658</v>
      </c>
      <c r="AJ268" s="6">
        <f>IF(AN268=0,J268,0)</f>
        <v>0</v>
      </c>
      <c r="AK268" s="6">
        <f>IF(AN268=15,J268,0)</f>
        <v>0</v>
      </c>
      <c r="AL268" s="6">
        <f>IF(AN268=21,J268,0)</f>
        <v>14755.25</v>
      </c>
      <c r="AN268" s="22">
        <v>21</v>
      </c>
      <c r="AO268" s="22">
        <f>G268*1</f>
        <v>590.21</v>
      </c>
      <c r="AP268" s="22">
        <f>G268*(1-1)</f>
        <v>0</v>
      </c>
      <c r="AQ268" s="39" t="s">
        <v>7</v>
      </c>
      <c r="AV268" s="22">
        <f>AW268+AX268</f>
        <v>14755.25</v>
      </c>
      <c r="AW268" s="22">
        <f>F268*AO268</f>
        <v>14755.25</v>
      </c>
      <c r="AX268" s="22">
        <f>F268*AP268</f>
        <v>0</v>
      </c>
      <c r="AY268" s="77" t="s">
        <v>914</v>
      </c>
      <c r="AZ268" s="77" t="s">
        <v>930</v>
      </c>
      <c r="BA268" s="34" t="s">
        <v>934</v>
      </c>
      <c r="BC268" s="22">
        <f>AW268+AX268</f>
        <v>14755.25</v>
      </c>
      <c r="BD268" s="22">
        <f>G268/(100-BE268)*100</f>
        <v>590.21</v>
      </c>
      <c r="BE268" s="22">
        <v>0</v>
      </c>
      <c r="BF268" s="22">
        <f>L268</f>
        <v>7.4999999999999997E-2</v>
      </c>
      <c r="BH268" s="6">
        <f>F268*AO268</f>
        <v>14755.25</v>
      </c>
      <c r="BI268" s="6">
        <f>F268*AP268</f>
        <v>0</v>
      </c>
      <c r="BJ268" s="6">
        <f>F268*G268</f>
        <v>14755.25</v>
      </c>
    </row>
    <row r="269" spans="1:62" ht="25.7" customHeight="1">
      <c r="C269" s="67" t="s">
        <v>672</v>
      </c>
      <c r="D269" s="167" t="s">
        <v>815</v>
      </c>
      <c r="E269" s="168"/>
      <c r="F269" s="168"/>
      <c r="G269" s="168"/>
      <c r="H269" s="168"/>
      <c r="I269" s="168"/>
      <c r="J269" s="168"/>
      <c r="K269" s="168"/>
      <c r="L269" s="168"/>
      <c r="M269" s="168"/>
    </row>
    <row r="270" spans="1:62">
      <c r="A270" s="59"/>
      <c r="B270" s="28" t="s">
        <v>658</v>
      </c>
      <c r="C270" s="28" t="s">
        <v>102</v>
      </c>
      <c r="D270" s="28" t="s">
        <v>612</v>
      </c>
      <c r="E270" s="59" t="s">
        <v>6</v>
      </c>
      <c r="F270" s="59" t="s">
        <v>6</v>
      </c>
      <c r="G270" s="59" t="s">
        <v>6</v>
      </c>
      <c r="H270" s="8">
        <f>SUM(H271:H271)</f>
        <v>0</v>
      </c>
      <c r="I270" s="8">
        <f>SUM(I271:I271)</f>
        <v>18459.2</v>
      </c>
      <c r="J270" s="8">
        <f>SUM(J271:J271)</f>
        <v>18459.2</v>
      </c>
      <c r="K270" s="34"/>
      <c r="L270" s="8">
        <f>SUM(L271:L271)</f>
        <v>30.580000000000002</v>
      </c>
      <c r="M270" s="34"/>
      <c r="AI270" s="34" t="s">
        <v>658</v>
      </c>
      <c r="AS270" s="8">
        <f>SUM(AJ271:AJ271)</f>
        <v>0</v>
      </c>
      <c r="AT270" s="8">
        <f>SUM(AK271:AK271)</f>
        <v>0</v>
      </c>
      <c r="AU270" s="8">
        <f>SUM(AL271:AL271)</f>
        <v>18459.2</v>
      </c>
    </row>
    <row r="271" spans="1:62">
      <c r="A271" s="1" t="s">
        <v>177</v>
      </c>
      <c r="B271" s="1" t="s">
        <v>658</v>
      </c>
      <c r="C271" s="1" t="s">
        <v>397</v>
      </c>
      <c r="D271" s="1" t="s">
        <v>613</v>
      </c>
      <c r="E271" s="1" t="s">
        <v>638</v>
      </c>
      <c r="F271" s="5">
        <f>'Rozpočet - vybrané sloupce'!AN219</f>
        <v>13.9</v>
      </c>
      <c r="G271" s="5">
        <f>'Rozpočet - vybrané sloupce'!AS219</f>
        <v>1328</v>
      </c>
      <c r="H271" s="5">
        <f>F271*AO271</f>
        <v>0</v>
      </c>
      <c r="I271" s="5">
        <f>F271*AP271</f>
        <v>18459.2</v>
      </c>
      <c r="J271" s="5">
        <f>F271*G271</f>
        <v>18459.2</v>
      </c>
      <c r="K271" s="5">
        <v>2.2000000000000002</v>
      </c>
      <c r="L271" s="5">
        <f>F271*K271</f>
        <v>30.580000000000002</v>
      </c>
      <c r="M271" s="38" t="s">
        <v>653</v>
      </c>
      <c r="Z271" s="22">
        <f>IF(AQ271="5",BJ271,0)</f>
        <v>0</v>
      </c>
      <c r="AB271" s="22">
        <f>IF(AQ271="1",BH271,0)</f>
        <v>0</v>
      </c>
      <c r="AC271" s="22">
        <f>IF(AQ271="1",BI271,0)</f>
        <v>18459.2</v>
      </c>
      <c r="AD271" s="22">
        <f>IF(AQ271="7",BH271,0)</f>
        <v>0</v>
      </c>
      <c r="AE271" s="22">
        <f>IF(AQ271="7",BI271,0)</f>
        <v>0</v>
      </c>
      <c r="AF271" s="22">
        <f>IF(AQ271="2",BH271,0)</f>
        <v>0</v>
      </c>
      <c r="AG271" s="22">
        <f>IF(AQ271="2",BI271,0)</f>
        <v>0</v>
      </c>
      <c r="AH271" s="22">
        <f>IF(AQ271="0",BJ271,0)</f>
        <v>0</v>
      </c>
      <c r="AI271" s="34" t="s">
        <v>658</v>
      </c>
      <c r="AJ271" s="5">
        <f>IF(AN271=0,J271,0)</f>
        <v>0</v>
      </c>
      <c r="AK271" s="5">
        <f>IF(AN271=15,J271,0)</f>
        <v>0</v>
      </c>
      <c r="AL271" s="5">
        <f>IF(AN271=21,J271,0)</f>
        <v>18459.2</v>
      </c>
      <c r="AN271" s="22">
        <v>21</v>
      </c>
      <c r="AO271" s="22">
        <f>G271*0</f>
        <v>0</v>
      </c>
      <c r="AP271" s="22">
        <f>G271*(1-0)</f>
        <v>1328</v>
      </c>
      <c r="AQ271" s="38" t="s">
        <v>7</v>
      </c>
      <c r="AV271" s="22">
        <f>AW271+AX271</f>
        <v>18459.2</v>
      </c>
      <c r="AW271" s="22">
        <f>F271*AO271</f>
        <v>0</v>
      </c>
      <c r="AX271" s="22">
        <f>F271*AP271</f>
        <v>18459.2</v>
      </c>
      <c r="AY271" s="77" t="s">
        <v>915</v>
      </c>
      <c r="AZ271" s="77" t="s">
        <v>930</v>
      </c>
      <c r="BA271" s="34" t="s">
        <v>934</v>
      </c>
      <c r="BC271" s="22">
        <f>AW271+AX271</f>
        <v>18459.2</v>
      </c>
      <c r="BD271" s="22">
        <f>G271/(100-BE271)*100</f>
        <v>1328</v>
      </c>
      <c r="BE271" s="22">
        <v>0</v>
      </c>
      <c r="BF271" s="22">
        <f>L271</f>
        <v>30.580000000000002</v>
      </c>
      <c r="BH271" s="5">
        <f>F271*AO271</f>
        <v>0</v>
      </c>
      <c r="BI271" s="5">
        <f>F271*AP271</f>
        <v>18459.2</v>
      </c>
      <c r="BJ271" s="5">
        <f>F271*G271</f>
        <v>18459.2</v>
      </c>
    </row>
    <row r="272" spans="1:62">
      <c r="D272" s="3" t="s">
        <v>614</v>
      </c>
    </row>
    <row r="273" spans="1:62" ht="25.7" customHeight="1">
      <c r="C273" s="67" t="s">
        <v>672</v>
      </c>
      <c r="D273" s="167" t="s">
        <v>817</v>
      </c>
      <c r="E273" s="168"/>
      <c r="F273" s="168"/>
      <c r="G273" s="168"/>
      <c r="H273" s="168"/>
      <c r="I273" s="168"/>
      <c r="J273" s="168"/>
      <c r="K273" s="168"/>
      <c r="L273" s="168"/>
      <c r="M273" s="168"/>
    </row>
    <row r="274" spans="1:62">
      <c r="A274" s="59"/>
      <c r="B274" s="28" t="s">
        <v>658</v>
      </c>
      <c r="C274" s="28" t="s">
        <v>398</v>
      </c>
      <c r="D274" s="28" t="s">
        <v>615</v>
      </c>
      <c r="E274" s="59" t="s">
        <v>6</v>
      </c>
      <c r="F274" s="59" t="s">
        <v>6</v>
      </c>
      <c r="G274" s="59" t="s">
        <v>6</v>
      </c>
      <c r="H274" s="8">
        <f>SUM(H275:H275)</f>
        <v>0</v>
      </c>
      <c r="I274" s="8">
        <f>SUM(I275:I275)</f>
        <v>49521.374472000003</v>
      </c>
      <c r="J274" s="8">
        <f>SUM(J275:J275)</f>
        <v>49521.374472000003</v>
      </c>
      <c r="K274" s="34"/>
      <c r="L274" s="8">
        <f>SUM(L275:L275)</f>
        <v>0</v>
      </c>
      <c r="M274" s="34"/>
      <c r="AI274" s="34" t="s">
        <v>658</v>
      </c>
      <c r="AS274" s="8">
        <f>SUM(AJ275:AJ275)</f>
        <v>0</v>
      </c>
      <c r="AT274" s="8">
        <f>SUM(AK275:AK275)</f>
        <v>0</v>
      </c>
      <c r="AU274" s="8">
        <f>SUM(AL275:AL275)</f>
        <v>49521.374472000003</v>
      </c>
    </row>
    <row r="275" spans="1:62">
      <c r="A275" s="1" t="s">
        <v>178</v>
      </c>
      <c r="B275" s="1" t="s">
        <v>658</v>
      </c>
      <c r="C275" s="1" t="s">
        <v>399</v>
      </c>
      <c r="D275" s="1" t="s">
        <v>616</v>
      </c>
      <c r="E275" s="1" t="s">
        <v>639</v>
      </c>
      <c r="F275" s="5">
        <f>'Rozpočet - vybrané sloupce'!AN222</f>
        <v>829.50376000000006</v>
      </c>
      <c r="G275" s="5">
        <f>'Rozpočet - vybrané sloupce'!AS222</f>
        <v>59.7</v>
      </c>
      <c r="H275" s="5">
        <f>F275*AO275</f>
        <v>0</v>
      </c>
      <c r="I275" s="5">
        <f>F275*AP275</f>
        <v>49521.374472000003</v>
      </c>
      <c r="J275" s="5">
        <f>F275*G275</f>
        <v>49521.374472000003</v>
      </c>
      <c r="K275" s="5">
        <v>0</v>
      </c>
      <c r="L275" s="5">
        <f>F275*K275</f>
        <v>0</v>
      </c>
      <c r="M275" s="38" t="s">
        <v>653</v>
      </c>
      <c r="Z275" s="22">
        <f>IF(AQ275="5",BJ275,0)</f>
        <v>49521.374472000003</v>
      </c>
      <c r="AB275" s="22">
        <f>IF(AQ275="1",BH275,0)</f>
        <v>0</v>
      </c>
      <c r="AC275" s="22">
        <f>IF(AQ275="1",BI275,0)</f>
        <v>0</v>
      </c>
      <c r="AD275" s="22">
        <f>IF(AQ275="7",BH275,0)</f>
        <v>0</v>
      </c>
      <c r="AE275" s="22">
        <f>IF(AQ275="7",BI275,0)</f>
        <v>0</v>
      </c>
      <c r="AF275" s="22">
        <f>IF(AQ275="2",BH275,0)</f>
        <v>0</v>
      </c>
      <c r="AG275" s="22">
        <f>IF(AQ275="2",BI275,0)</f>
        <v>0</v>
      </c>
      <c r="AH275" s="22">
        <f>IF(AQ275="0",BJ275,0)</f>
        <v>0</v>
      </c>
      <c r="AI275" s="34" t="s">
        <v>658</v>
      </c>
      <c r="AJ275" s="5">
        <f>IF(AN275=0,J275,0)</f>
        <v>0</v>
      </c>
      <c r="AK275" s="5">
        <f>IF(AN275=15,J275,0)</f>
        <v>0</v>
      </c>
      <c r="AL275" s="5">
        <f>IF(AN275=21,J275,0)</f>
        <v>49521.374472000003</v>
      </c>
      <c r="AN275" s="22">
        <v>21</v>
      </c>
      <c r="AO275" s="22">
        <f>G275*0</f>
        <v>0</v>
      </c>
      <c r="AP275" s="22">
        <f>G275*(1-0)</f>
        <v>59.7</v>
      </c>
      <c r="AQ275" s="38" t="s">
        <v>11</v>
      </c>
      <c r="AV275" s="22">
        <f>AW275+AX275</f>
        <v>49521.374472000003</v>
      </c>
      <c r="AW275" s="22">
        <f>F275*AO275</f>
        <v>0</v>
      </c>
      <c r="AX275" s="22">
        <f>F275*AP275</f>
        <v>49521.374472000003</v>
      </c>
      <c r="AY275" s="77" t="s">
        <v>916</v>
      </c>
      <c r="AZ275" s="77" t="s">
        <v>930</v>
      </c>
      <c r="BA275" s="34" t="s">
        <v>934</v>
      </c>
      <c r="BC275" s="22">
        <f>AW275+AX275</f>
        <v>49521.374472000003</v>
      </c>
      <c r="BD275" s="22">
        <f>G275/(100-BE275)*100</f>
        <v>59.699999999999996</v>
      </c>
      <c r="BE275" s="22">
        <v>0</v>
      </c>
      <c r="BF275" s="22">
        <f>L275</f>
        <v>0</v>
      </c>
      <c r="BH275" s="5">
        <f>F275*AO275</f>
        <v>0</v>
      </c>
      <c r="BI275" s="5">
        <f>F275*AP275</f>
        <v>49521.374472000003</v>
      </c>
      <c r="BJ275" s="5">
        <f>F275*G275</f>
        <v>49521.374472000003</v>
      </c>
    </row>
    <row r="276" spans="1:62">
      <c r="A276" s="59"/>
      <c r="B276" s="28" t="s">
        <v>658</v>
      </c>
      <c r="C276" s="28" t="s">
        <v>400</v>
      </c>
      <c r="D276" s="28" t="s">
        <v>617</v>
      </c>
      <c r="E276" s="59" t="s">
        <v>6</v>
      </c>
      <c r="F276" s="59" t="s">
        <v>6</v>
      </c>
      <c r="G276" s="59" t="s">
        <v>6</v>
      </c>
      <c r="H276" s="8">
        <f>SUM(H277:H281)</f>
        <v>0</v>
      </c>
      <c r="I276" s="8">
        <f>SUM(I277:I281)</f>
        <v>831127.92168000014</v>
      </c>
      <c r="J276" s="8">
        <f>SUM(J277:J281)</f>
        <v>831127.92168000014</v>
      </c>
      <c r="K276" s="34"/>
      <c r="L276" s="8">
        <f>SUM(L277:L281)</f>
        <v>0</v>
      </c>
      <c r="M276" s="34"/>
      <c r="AI276" s="34" t="s">
        <v>658</v>
      </c>
      <c r="AS276" s="8">
        <f>SUM(AJ277:AJ281)</f>
        <v>0</v>
      </c>
      <c r="AT276" s="8">
        <f>SUM(AK277:AK281)</f>
        <v>0</v>
      </c>
      <c r="AU276" s="8">
        <f>SUM(AL277:AL281)</f>
        <v>831127.92168000014</v>
      </c>
    </row>
    <row r="277" spans="1:62">
      <c r="A277" s="1" t="s">
        <v>179</v>
      </c>
      <c r="B277" s="1" t="s">
        <v>658</v>
      </c>
      <c r="C277" s="1" t="s">
        <v>401</v>
      </c>
      <c r="D277" s="1" t="s">
        <v>618</v>
      </c>
      <c r="E277" s="1" t="s">
        <v>639</v>
      </c>
      <c r="F277" s="5">
        <f>'Rozpočet - vybrané sloupce'!AN224</f>
        <v>903.87149999999997</v>
      </c>
      <c r="G277" s="5">
        <f>'Rozpočet - vybrané sloupce'!AS224</f>
        <v>135.51</v>
      </c>
      <c r="H277" s="5">
        <f>F277*AO277</f>
        <v>0</v>
      </c>
      <c r="I277" s="5">
        <f>F277*AP277</f>
        <v>122483.62696499999</v>
      </c>
      <c r="J277" s="5">
        <f>F277*G277</f>
        <v>122483.62696499999</v>
      </c>
      <c r="K277" s="5">
        <v>0</v>
      </c>
      <c r="L277" s="5">
        <f>F277*K277</f>
        <v>0</v>
      </c>
      <c r="M277" s="38" t="s">
        <v>653</v>
      </c>
      <c r="Z277" s="22">
        <f>IF(AQ277="5",BJ277,0)</f>
        <v>122483.62696499999</v>
      </c>
      <c r="AB277" s="22">
        <f>IF(AQ277="1",BH277,0)</f>
        <v>0</v>
      </c>
      <c r="AC277" s="22">
        <f>IF(AQ277="1",BI277,0)</f>
        <v>0</v>
      </c>
      <c r="AD277" s="22">
        <f>IF(AQ277="7",BH277,0)</f>
        <v>0</v>
      </c>
      <c r="AE277" s="22">
        <f>IF(AQ277="7",BI277,0)</f>
        <v>0</v>
      </c>
      <c r="AF277" s="22">
        <f>IF(AQ277="2",BH277,0)</f>
        <v>0</v>
      </c>
      <c r="AG277" s="22">
        <f>IF(AQ277="2",BI277,0)</f>
        <v>0</v>
      </c>
      <c r="AH277" s="22">
        <f>IF(AQ277="0",BJ277,0)</f>
        <v>0</v>
      </c>
      <c r="AI277" s="34" t="s">
        <v>658</v>
      </c>
      <c r="AJ277" s="5">
        <f>IF(AN277=0,J277,0)</f>
        <v>0</v>
      </c>
      <c r="AK277" s="5">
        <f>IF(AN277=15,J277,0)</f>
        <v>0</v>
      </c>
      <c r="AL277" s="5">
        <f>IF(AN277=21,J277,0)</f>
        <v>122483.62696499999</v>
      </c>
      <c r="AN277" s="22">
        <v>21</v>
      </c>
      <c r="AO277" s="22">
        <f>G277*0</f>
        <v>0</v>
      </c>
      <c r="AP277" s="22">
        <f>G277*(1-0)</f>
        <v>135.51</v>
      </c>
      <c r="AQ277" s="38" t="s">
        <v>11</v>
      </c>
      <c r="AV277" s="22">
        <f>AW277+AX277</f>
        <v>122483.62696499999</v>
      </c>
      <c r="AW277" s="22">
        <f>F277*AO277</f>
        <v>0</v>
      </c>
      <c r="AX277" s="22">
        <f>F277*AP277</f>
        <v>122483.62696499999</v>
      </c>
      <c r="AY277" s="77" t="s">
        <v>917</v>
      </c>
      <c r="AZ277" s="77" t="s">
        <v>930</v>
      </c>
      <c r="BA277" s="34" t="s">
        <v>934</v>
      </c>
      <c r="BC277" s="22">
        <f>AW277+AX277</f>
        <v>122483.62696499999</v>
      </c>
      <c r="BD277" s="22">
        <f>G277/(100-BE277)*100</f>
        <v>135.51</v>
      </c>
      <c r="BE277" s="22">
        <v>0</v>
      </c>
      <c r="BF277" s="22">
        <f>L277</f>
        <v>0</v>
      </c>
      <c r="BH277" s="5">
        <f>F277*AO277</f>
        <v>0</v>
      </c>
      <c r="BI277" s="5">
        <f>F277*AP277</f>
        <v>122483.62696499999</v>
      </c>
      <c r="BJ277" s="5">
        <f>F277*G277</f>
        <v>122483.62696499999</v>
      </c>
    </row>
    <row r="278" spans="1:62">
      <c r="A278" s="1" t="s">
        <v>180</v>
      </c>
      <c r="B278" s="1" t="s">
        <v>658</v>
      </c>
      <c r="C278" s="1" t="s">
        <v>402</v>
      </c>
      <c r="D278" s="1" t="s">
        <v>619</v>
      </c>
      <c r="E278" s="1" t="s">
        <v>639</v>
      </c>
      <c r="F278" s="5">
        <f>'Rozpočet - vybrané sloupce'!AN225</f>
        <v>18077.43</v>
      </c>
      <c r="G278" s="5">
        <f>'Rozpočet - vybrané sloupce'!AS225</f>
        <v>23.69</v>
      </c>
      <c r="H278" s="5">
        <f>F278*AO278</f>
        <v>0</v>
      </c>
      <c r="I278" s="5">
        <f>F278*AP278</f>
        <v>428254.31670000002</v>
      </c>
      <c r="J278" s="5">
        <f>F278*G278</f>
        <v>428254.31670000002</v>
      </c>
      <c r="K278" s="5">
        <v>0</v>
      </c>
      <c r="L278" s="5">
        <f>F278*K278</f>
        <v>0</v>
      </c>
      <c r="M278" s="38" t="s">
        <v>653</v>
      </c>
      <c r="Z278" s="22">
        <f>IF(AQ278="5",BJ278,0)</f>
        <v>428254.31670000002</v>
      </c>
      <c r="AB278" s="22">
        <f>IF(AQ278="1",BH278,0)</f>
        <v>0</v>
      </c>
      <c r="AC278" s="22">
        <f>IF(AQ278="1",BI278,0)</f>
        <v>0</v>
      </c>
      <c r="AD278" s="22">
        <f>IF(AQ278="7",BH278,0)</f>
        <v>0</v>
      </c>
      <c r="AE278" s="22">
        <f>IF(AQ278="7",BI278,0)</f>
        <v>0</v>
      </c>
      <c r="AF278" s="22">
        <f>IF(AQ278="2",BH278,0)</f>
        <v>0</v>
      </c>
      <c r="AG278" s="22">
        <f>IF(AQ278="2",BI278,0)</f>
        <v>0</v>
      </c>
      <c r="AH278" s="22">
        <f>IF(AQ278="0",BJ278,0)</f>
        <v>0</v>
      </c>
      <c r="AI278" s="34" t="s">
        <v>658</v>
      </c>
      <c r="AJ278" s="5">
        <f>IF(AN278=0,J278,0)</f>
        <v>0</v>
      </c>
      <c r="AK278" s="5">
        <f>IF(AN278=15,J278,0)</f>
        <v>0</v>
      </c>
      <c r="AL278" s="5">
        <f>IF(AN278=21,J278,0)</f>
        <v>428254.31670000002</v>
      </c>
      <c r="AN278" s="22">
        <v>21</v>
      </c>
      <c r="AO278" s="22">
        <f>G278*0</f>
        <v>0</v>
      </c>
      <c r="AP278" s="22">
        <f>G278*(1-0)</f>
        <v>23.69</v>
      </c>
      <c r="AQ278" s="38" t="s">
        <v>11</v>
      </c>
      <c r="AV278" s="22">
        <f>AW278+AX278</f>
        <v>428254.31670000002</v>
      </c>
      <c r="AW278" s="22">
        <f>F278*AO278</f>
        <v>0</v>
      </c>
      <c r="AX278" s="22">
        <f>F278*AP278</f>
        <v>428254.31670000002</v>
      </c>
      <c r="AY278" s="77" t="s">
        <v>917</v>
      </c>
      <c r="AZ278" s="77" t="s">
        <v>930</v>
      </c>
      <c r="BA278" s="34" t="s">
        <v>934</v>
      </c>
      <c r="BC278" s="22">
        <f>AW278+AX278</f>
        <v>428254.31670000002</v>
      </c>
      <c r="BD278" s="22">
        <f>G278/(100-BE278)*100</f>
        <v>23.69</v>
      </c>
      <c r="BE278" s="22">
        <v>0</v>
      </c>
      <c r="BF278" s="22">
        <f>L278</f>
        <v>0</v>
      </c>
      <c r="BH278" s="5">
        <f>F278*AO278</f>
        <v>0</v>
      </c>
      <c r="BI278" s="5">
        <f>F278*AP278</f>
        <v>428254.31670000002</v>
      </c>
      <c r="BJ278" s="5">
        <f>F278*G278</f>
        <v>428254.31670000002</v>
      </c>
    </row>
    <row r="279" spans="1:62">
      <c r="A279" s="1" t="s">
        <v>181</v>
      </c>
      <c r="B279" s="1" t="s">
        <v>658</v>
      </c>
      <c r="C279" s="1" t="s">
        <v>403</v>
      </c>
      <c r="D279" s="1" t="s">
        <v>620</v>
      </c>
      <c r="E279" s="1" t="s">
        <v>639</v>
      </c>
      <c r="F279" s="5">
        <f>'Rozpočet - vybrané sloupce'!AN226</f>
        <v>903.87149999999997</v>
      </c>
      <c r="G279" s="5">
        <f>'Rozpočet - vybrané sloupce'!AS226</f>
        <v>10.210000000000001</v>
      </c>
      <c r="H279" s="5">
        <f>F279*AO279</f>
        <v>0</v>
      </c>
      <c r="I279" s="5">
        <f>F279*AP279</f>
        <v>9228.5280149999999</v>
      </c>
      <c r="J279" s="5">
        <f>F279*G279</f>
        <v>9228.5280149999999</v>
      </c>
      <c r="K279" s="5">
        <v>0</v>
      </c>
      <c r="L279" s="5">
        <f>F279*K279</f>
        <v>0</v>
      </c>
      <c r="M279" s="38" t="s">
        <v>653</v>
      </c>
      <c r="Z279" s="22">
        <f>IF(AQ279="5",BJ279,0)</f>
        <v>9228.5280149999999</v>
      </c>
      <c r="AB279" s="22">
        <f>IF(AQ279="1",BH279,0)</f>
        <v>0</v>
      </c>
      <c r="AC279" s="22">
        <f>IF(AQ279="1",BI279,0)</f>
        <v>0</v>
      </c>
      <c r="AD279" s="22">
        <f>IF(AQ279="7",BH279,0)</f>
        <v>0</v>
      </c>
      <c r="AE279" s="22">
        <f>IF(AQ279="7",BI279,0)</f>
        <v>0</v>
      </c>
      <c r="AF279" s="22">
        <f>IF(AQ279="2",BH279,0)</f>
        <v>0</v>
      </c>
      <c r="AG279" s="22">
        <f>IF(AQ279="2",BI279,0)</f>
        <v>0</v>
      </c>
      <c r="AH279" s="22">
        <f>IF(AQ279="0",BJ279,0)</f>
        <v>0</v>
      </c>
      <c r="AI279" s="34" t="s">
        <v>658</v>
      </c>
      <c r="AJ279" s="5">
        <f>IF(AN279=0,J279,0)</f>
        <v>0</v>
      </c>
      <c r="AK279" s="5">
        <f>IF(AN279=15,J279,0)</f>
        <v>0</v>
      </c>
      <c r="AL279" s="5">
        <f>IF(AN279=21,J279,0)</f>
        <v>9228.5280149999999</v>
      </c>
      <c r="AN279" s="22">
        <v>21</v>
      </c>
      <c r="AO279" s="22">
        <f>G279*0</f>
        <v>0</v>
      </c>
      <c r="AP279" s="22">
        <f>G279*(1-0)</f>
        <v>10.210000000000001</v>
      </c>
      <c r="AQ279" s="38" t="s">
        <v>11</v>
      </c>
      <c r="AV279" s="22">
        <f>AW279+AX279</f>
        <v>9228.5280149999999</v>
      </c>
      <c r="AW279" s="22">
        <f>F279*AO279</f>
        <v>0</v>
      </c>
      <c r="AX279" s="22">
        <f>F279*AP279</f>
        <v>9228.5280149999999</v>
      </c>
      <c r="AY279" s="77" t="s">
        <v>917</v>
      </c>
      <c r="AZ279" s="77" t="s">
        <v>930</v>
      </c>
      <c r="BA279" s="34" t="s">
        <v>934</v>
      </c>
      <c r="BC279" s="22">
        <f>AW279+AX279</f>
        <v>9228.5280149999999</v>
      </c>
      <c r="BD279" s="22">
        <f>G279/(100-BE279)*100</f>
        <v>10.210000000000001</v>
      </c>
      <c r="BE279" s="22">
        <v>0</v>
      </c>
      <c r="BF279" s="22">
        <f>L279</f>
        <v>0</v>
      </c>
      <c r="BH279" s="5">
        <f>F279*AO279</f>
        <v>0</v>
      </c>
      <c r="BI279" s="5">
        <f>F279*AP279</f>
        <v>9228.5280149999999</v>
      </c>
      <c r="BJ279" s="5">
        <f>F279*G279</f>
        <v>9228.5280149999999</v>
      </c>
    </row>
    <row r="280" spans="1:62">
      <c r="C280" s="67" t="s">
        <v>672</v>
      </c>
      <c r="D280" s="167" t="s">
        <v>820</v>
      </c>
      <c r="E280" s="168"/>
      <c r="F280" s="168"/>
      <c r="G280" s="168"/>
      <c r="H280" s="168"/>
      <c r="I280" s="168"/>
      <c r="J280" s="168"/>
      <c r="K280" s="168"/>
      <c r="L280" s="168"/>
      <c r="M280" s="168"/>
    </row>
    <row r="281" spans="1:62">
      <c r="A281" s="1" t="s">
        <v>182</v>
      </c>
      <c r="B281" s="1" t="s">
        <v>658</v>
      </c>
      <c r="C281" s="1" t="s">
        <v>404</v>
      </c>
      <c r="D281" s="1" t="s">
        <v>621</v>
      </c>
      <c r="E281" s="1" t="s">
        <v>639</v>
      </c>
      <c r="F281" s="5">
        <f>'Rozpočet - vybrané sloupce'!AN227</f>
        <v>903.87149999999997</v>
      </c>
      <c r="G281" s="5">
        <f>'Rozpočet - vybrané sloupce'!AS227</f>
        <v>300</v>
      </c>
      <c r="H281" s="5">
        <f>F281*AO281</f>
        <v>0</v>
      </c>
      <c r="I281" s="5">
        <f>F281*AP281</f>
        <v>271161.45</v>
      </c>
      <c r="J281" s="5">
        <f>F281*G281</f>
        <v>271161.45</v>
      </c>
      <c r="K281" s="5">
        <v>0</v>
      </c>
      <c r="L281" s="5">
        <f>F281*K281</f>
        <v>0</v>
      </c>
      <c r="M281" s="38" t="s">
        <v>654</v>
      </c>
      <c r="Z281" s="22">
        <f>IF(AQ281="5",BJ281,0)</f>
        <v>271161.45</v>
      </c>
      <c r="AB281" s="22">
        <f>IF(AQ281="1",BH281,0)</f>
        <v>0</v>
      </c>
      <c r="AC281" s="22">
        <f>IF(AQ281="1",BI281,0)</f>
        <v>0</v>
      </c>
      <c r="AD281" s="22">
        <f>IF(AQ281="7",BH281,0)</f>
        <v>0</v>
      </c>
      <c r="AE281" s="22">
        <f>IF(AQ281="7",BI281,0)</f>
        <v>0</v>
      </c>
      <c r="AF281" s="22">
        <f>IF(AQ281="2",BH281,0)</f>
        <v>0</v>
      </c>
      <c r="AG281" s="22">
        <f>IF(AQ281="2",BI281,0)</f>
        <v>0</v>
      </c>
      <c r="AH281" s="22">
        <f>IF(AQ281="0",BJ281,0)</f>
        <v>0</v>
      </c>
      <c r="AI281" s="34" t="s">
        <v>658</v>
      </c>
      <c r="AJ281" s="5">
        <f>IF(AN281=0,J281,0)</f>
        <v>0</v>
      </c>
      <c r="AK281" s="5">
        <f>IF(AN281=15,J281,0)</f>
        <v>0</v>
      </c>
      <c r="AL281" s="5">
        <f>IF(AN281=21,J281,0)</f>
        <v>271161.45</v>
      </c>
      <c r="AN281" s="22">
        <v>21</v>
      </c>
      <c r="AO281" s="22">
        <f>G281*0</f>
        <v>0</v>
      </c>
      <c r="AP281" s="22">
        <f>G281*(1-0)</f>
        <v>300</v>
      </c>
      <c r="AQ281" s="38" t="s">
        <v>11</v>
      </c>
      <c r="AV281" s="22">
        <f>AW281+AX281</f>
        <v>271161.45</v>
      </c>
      <c r="AW281" s="22">
        <f>F281*AO281</f>
        <v>0</v>
      </c>
      <c r="AX281" s="22">
        <f>F281*AP281</f>
        <v>271161.45</v>
      </c>
      <c r="AY281" s="77" t="s">
        <v>917</v>
      </c>
      <c r="AZ281" s="77" t="s">
        <v>930</v>
      </c>
      <c r="BA281" s="34" t="s">
        <v>934</v>
      </c>
      <c r="BC281" s="22">
        <f>AW281+AX281</f>
        <v>271161.45</v>
      </c>
      <c r="BD281" s="22">
        <f>G281/(100-BE281)*100</f>
        <v>300</v>
      </c>
      <c r="BE281" s="22">
        <v>0</v>
      </c>
      <c r="BF281" s="22">
        <f>L281</f>
        <v>0</v>
      </c>
      <c r="BH281" s="5">
        <f>F281*AO281</f>
        <v>0</v>
      </c>
      <c r="BI281" s="5">
        <f>F281*AP281</f>
        <v>271161.45</v>
      </c>
      <c r="BJ281" s="5">
        <f>F281*G281</f>
        <v>271161.45</v>
      </c>
    </row>
    <row r="282" spans="1:62">
      <c r="A282" s="60"/>
      <c r="B282" s="65" t="s">
        <v>659</v>
      </c>
      <c r="C282" s="65"/>
      <c r="D282" s="65" t="s">
        <v>622</v>
      </c>
      <c r="E282" s="60" t="s">
        <v>6</v>
      </c>
      <c r="F282" s="60" t="s">
        <v>6</v>
      </c>
      <c r="G282" s="60" t="s">
        <v>6</v>
      </c>
      <c r="H282" s="79">
        <f>H283+H297+H302+H311+H315+H318+H322+H334+H339+H346+H349+H351+H354</f>
        <v>411930.32299383014</v>
      </c>
      <c r="I282" s="79">
        <f>I283+I297+I302+I311+I315+I318+I322+I334+I339+I346+I349+I351+I354</f>
        <v>729490.72493016976</v>
      </c>
      <c r="J282" s="79">
        <f>J283+J297+J302+J311+J315+J318+J322+J334+J339+J346+J349+J351+J354</f>
        <v>1141421.0479239998</v>
      </c>
      <c r="K282" s="72"/>
      <c r="L282" s="79">
        <f>L283+L297+L302+L311+L315+L318+L322+L334+L339+L346+L349+L351+L354</f>
        <v>821.19666999999993</v>
      </c>
      <c r="M282" s="72"/>
    </row>
    <row r="283" spans="1:62">
      <c r="A283" s="59"/>
      <c r="B283" s="28" t="s">
        <v>659</v>
      </c>
      <c r="C283" s="28" t="s">
        <v>224</v>
      </c>
      <c r="D283" s="28" t="s">
        <v>411</v>
      </c>
      <c r="E283" s="59" t="s">
        <v>6</v>
      </c>
      <c r="F283" s="59" t="s">
        <v>6</v>
      </c>
      <c r="G283" s="59" t="s">
        <v>6</v>
      </c>
      <c r="H283" s="8">
        <f>SUM(H284:H296)</f>
        <v>0</v>
      </c>
      <c r="I283" s="8">
        <f>SUM(I284:I296)</f>
        <v>75000</v>
      </c>
      <c r="J283" s="8">
        <f>SUM(J284:J296)</f>
        <v>75000</v>
      </c>
      <c r="K283" s="34"/>
      <c r="L283" s="8">
        <f>SUM(L284:L296)</f>
        <v>0</v>
      </c>
      <c r="M283" s="34"/>
      <c r="AI283" s="34" t="s">
        <v>659</v>
      </c>
      <c r="AS283" s="8">
        <f>SUM(AJ284:AJ296)</f>
        <v>0</v>
      </c>
      <c r="AT283" s="8">
        <f>SUM(AK284:AK296)</f>
        <v>0</v>
      </c>
      <c r="AU283" s="8">
        <f>SUM(AL284:AL296)</f>
        <v>75000</v>
      </c>
    </row>
    <row r="284" spans="1:62">
      <c r="A284" s="1" t="s">
        <v>183</v>
      </c>
      <c r="B284" s="1" t="s">
        <v>659</v>
      </c>
      <c r="C284" s="1" t="s">
        <v>225</v>
      </c>
      <c r="D284" s="1" t="s">
        <v>412</v>
      </c>
      <c r="E284" s="1" t="s">
        <v>634</v>
      </c>
      <c r="F284" s="5">
        <f>'Rozpočet - vybrané sloupce'!AN230</f>
        <v>1</v>
      </c>
      <c r="G284" s="5">
        <f>'Rozpočet - vybrané sloupce'!AS230</f>
        <v>8500</v>
      </c>
      <c r="H284" s="5">
        <f>F284*AO284</f>
        <v>0</v>
      </c>
      <c r="I284" s="5">
        <f>F284*AP284</f>
        <v>8500</v>
      </c>
      <c r="J284" s="5">
        <f>F284*G284</f>
        <v>8500</v>
      </c>
      <c r="K284" s="5">
        <v>0</v>
      </c>
      <c r="L284" s="5">
        <f>F284*K284</f>
        <v>0</v>
      </c>
      <c r="M284" s="38"/>
      <c r="Z284" s="22">
        <f>IF(AQ284="5",BJ284,0)</f>
        <v>0</v>
      </c>
      <c r="AB284" s="22">
        <f>IF(AQ284="1",BH284,0)</f>
        <v>0</v>
      </c>
      <c r="AC284" s="22">
        <f>IF(AQ284="1",BI284,0)</f>
        <v>8500</v>
      </c>
      <c r="AD284" s="22">
        <f>IF(AQ284="7",BH284,0)</f>
        <v>0</v>
      </c>
      <c r="AE284" s="22">
        <f>IF(AQ284="7",BI284,0)</f>
        <v>0</v>
      </c>
      <c r="AF284" s="22">
        <f>IF(AQ284="2",BH284,0)</f>
        <v>0</v>
      </c>
      <c r="AG284" s="22">
        <f>IF(AQ284="2",BI284,0)</f>
        <v>0</v>
      </c>
      <c r="AH284" s="22">
        <f>IF(AQ284="0",BJ284,0)</f>
        <v>0</v>
      </c>
      <c r="AI284" s="34" t="s">
        <v>659</v>
      </c>
      <c r="AJ284" s="5">
        <f>IF(AN284=0,J284,0)</f>
        <v>0</v>
      </c>
      <c r="AK284" s="5">
        <f>IF(AN284=15,J284,0)</f>
        <v>0</v>
      </c>
      <c r="AL284" s="5">
        <f>IF(AN284=21,J284,0)</f>
        <v>8500</v>
      </c>
      <c r="AN284" s="22">
        <v>21</v>
      </c>
      <c r="AO284" s="22">
        <f>G284*0</f>
        <v>0</v>
      </c>
      <c r="AP284" s="22">
        <f>G284*(1-0)</f>
        <v>8500</v>
      </c>
      <c r="AQ284" s="38" t="s">
        <v>7</v>
      </c>
      <c r="AV284" s="22">
        <f>AW284+AX284</f>
        <v>8500</v>
      </c>
      <c r="AW284" s="22">
        <f>F284*AO284</f>
        <v>0</v>
      </c>
      <c r="AX284" s="22">
        <f>F284*AP284</f>
        <v>8500</v>
      </c>
      <c r="AY284" s="77" t="s">
        <v>892</v>
      </c>
      <c r="AZ284" s="77" t="s">
        <v>931</v>
      </c>
      <c r="BA284" s="34" t="s">
        <v>935</v>
      </c>
      <c r="BC284" s="22">
        <f>AW284+AX284</f>
        <v>8500</v>
      </c>
      <c r="BD284" s="22">
        <f>G284/(100-BE284)*100</f>
        <v>8500</v>
      </c>
      <c r="BE284" s="22">
        <v>0</v>
      </c>
      <c r="BF284" s="22">
        <f>L284</f>
        <v>0</v>
      </c>
      <c r="BH284" s="5">
        <f>F284*AO284</f>
        <v>0</v>
      </c>
      <c r="BI284" s="5">
        <f>F284*AP284</f>
        <v>8500</v>
      </c>
      <c r="BJ284" s="5">
        <f>F284*G284</f>
        <v>8500</v>
      </c>
    </row>
    <row r="285" spans="1:62" ht="38.450000000000003" customHeight="1">
      <c r="C285" s="66" t="s">
        <v>660</v>
      </c>
      <c r="D285" s="175" t="s">
        <v>673</v>
      </c>
      <c r="E285" s="176"/>
      <c r="F285" s="176"/>
      <c r="G285" s="176"/>
      <c r="H285" s="176"/>
      <c r="I285" s="176"/>
      <c r="J285" s="176"/>
      <c r="K285" s="176"/>
      <c r="L285" s="176"/>
      <c r="M285" s="176"/>
    </row>
    <row r="286" spans="1:62">
      <c r="A286" s="1" t="s">
        <v>184</v>
      </c>
      <c r="B286" s="1" t="s">
        <v>659</v>
      </c>
      <c r="C286" s="1" t="s">
        <v>405</v>
      </c>
      <c r="D286" s="1" t="s">
        <v>413</v>
      </c>
      <c r="E286" s="1" t="s">
        <v>634</v>
      </c>
      <c r="F286" s="5">
        <f>'Rozpočet - vybrané sloupce'!AN231</f>
        <v>1</v>
      </c>
      <c r="G286" s="5">
        <f>'Rozpočet - vybrané sloupce'!AS231</f>
        <v>3000</v>
      </c>
      <c r="H286" s="5">
        <f>F286*AO286</f>
        <v>0</v>
      </c>
      <c r="I286" s="5">
        <f>F286*AP286</f>
        <v>3000</v>
      </c>
      <c r="J286" s="5">
        <f>F286*G286</f>
        <v>3000</v>
      </c>
      <c r="K286" s="5">
        <v>0</v>
      </c>
      <c r="L286" s="5">
        <f>F286*K286</f>
        <v>0</v>
      </c>
      <c r="M286" s="38"/>
      <c r="Z286" s="22">
        <f>IF(AQ286="5",BJ286,0)</f>
        <v>0</v>
      </c>
      <c r="AB286" s="22">
        <f>IF(AQ286="1",BH286,0)</f>
        <v>0</v>
      </c>
      <c r="AC286" s="22">
        <f>IF(AQ286="1",BI286,0)</f>
        <v>3000</v>
      </c>
      <c r="AD286" s="22">
        <f>IF(AQ286="7",BH286,0)</f>
        <v>0</v>
      </c>
      <c r="AE286" s="22">
        <f>IF(AQ286="7",BI286,0)</f>
        <v>0</v>
      </c>
      <c r="AF286" s="22">
        <f>IF(AQ286="2",BH286,0)</f>
        <v>0</v>
      </c>
      <c r="AG286" s="22">
        <f>IF(AQ286="2",BI286,0)</f>
        <v>0</v>
      </c>
      <c r="AH286" s="22">
        <f>IF(AQ286="0",BJ286,0)</f>
        <v>0</v>
      </c>
      <c r="AI286" s="34" t="s">
        <v>659</v>
      </c>
      <c r="AJ286" s="5">
        <f>IF(AN286=0,J286,0)</f>
        <v>0</v>
      </c>
      <c r="AK286" s="5">
        <f>IF(AN286=15,J286,0)</f>
        <v>0</v>
      </c>
      <c r="AL286" s="5">
        <f>IF(AN286=21,J286,0)</f>
        <v>3000</v>
      </c>
      <c r="AN286" s="22">
        <v>21</v>
      </c>
      <c r="AO286" s="22">
        <f>G286*0</f>
        <v>0</v>
      </c>
      <c r="AP286" s="22">
        <f>G286*(1-0)</f>
        <v>3000</v>
      </c>
      <c r="AQ286" s="38" t="s">
        <v>7</v>
      </c>
      <c r="AV286" s="22">
        <f>AW286+AX286</f>
        <v>3000</v>
      </c>
      <c r="AW286" s="22">
        <f>F286*AO286</f>
        <v>0</v>
      </c>
      <c r="AX286" s="22">
        <f>F286*AP286</f>
        <v>3000</v>
      </c>
      <c r="AY286" s="77" t="s">
        <v>892</v>
      </c>
      <c r="AZ286" s="77" t="s">
        <v>931</v>
      </c>
      <c r="BA286" s="34" t="s">
        <v>935</v>
      </c>
      <c r="BC286" s="22">
        <f>AW286+AX286</f>
        <v>3000</v>
      </c>
      <c r="BD286" s="22">
        <f>G286/(100-BE286)*100</f>
        <v>3000</v>
      </c>
      <c r="BE286" s="22">
        <v>0</v>
      </c>
      <c r="BF286" s="22">
        <f>L286</f>
        <v>0</v>
      </c>
      <c r="BH286" s="5">
        <f>F286*AO286</f>
        <v>0</v>
      </c>
      <c r="BI286" s="5">
        <f>F286*AP286</f>
        <v>3000</v>
      </c>
      <c r="BJ286" s="5">
        <f>F286*G286</f>
        <v>3000</v>
      </c>
    </row>
    <row r="287" spans="1:62">
      <c r="A287" s="1" t="s">
        <v>185</v>
      </c>
      <c r="B287" s="1" t="s">
        <v>659</v>
      </c>
      <c r="C287" s="1" t="s">
        <v>226</v>
      </c>
      <c r="D287" s="1" t="s">
        <v>414</v>
      </c>
      <c r="E287" s="1" t="s">
        <v>634</v>
      </c>
      <c r="F287" s="5">
        <f>'Rozpočet - vybrané sloupce'!AN232</f>
        <v>1</v>
      </c>
      <c r="G287" s="5">
        <f>'Rozpočet - vybrané sloupce'!AS232</f>
        <v>5000</v>
      </c>
      <c r="H287" s="5">
        <f>F287*AO287</f>
        <v>0</v>
      </c>
      <c r="I287" s="5">
        <f>F287*AP287</f>
        <v>5000</v>
      </c>
      <c r="J287" s="5">
        <f>F287*G287</f>
        <v>5000</v>
      </c>
      <c r="K287" s="5">
        <v>0</v>
      </c>
      <c r="L287" s="5">
        <f>F287*K287</f>
        <v>0</v>
      </c>
      <c r="M287" s="38"/>
      <c r="Z287" s="22">
        <f>IF(AQ287="5",BJ287,0)</f>
        <v>0</v>
      </c>
      <c r="AB287" s="22">
        <f>IF(AQ287="1",BH287,0)</f>
        <v>0</v>
      </c>
      <c r="AC287" s="22">
        <f>IF(AQ287="1",BI287,0)</f>
        <v>5000</v>
      </c>
      <c r="AD287" s="22">
        <f>IF(AQ287="7",BH287,0)</f>
        <v>0</v>
      </c>
      <c r="AE287" s="22">
        <f>IF(AQ287="7",BI287,0)</f>
        <v>0</v>
      </c>
      <c r="AF287" s="22">
        <f>IF(AQ287="2",BH287,0)</f>
        <v>0</v>
      </c>
      <c r="AG287" s="22">
        <f>IF(AQ287="2",BI287,0)</f>
        <v>0</v>
      </c>
      <c r="AH287" s="22">
        <f>IF(AQ287="0",BJ287,0)</f>
        <v>0</v>
      </c>
      <c r="AI287" s="34" t="s">
        <v>659</v>
      </c>
      <c r="AJ287" s="5">
        <f>IF(AN287=0,J287,0)</f>
        <v>0</v>
      </c>
      <c r="AK287" s="5">
        <f>IF(AN287=15,J287,0)</f>
        <v>0</v>
      </c>
      <c r="AL287" s="5">
        <f>IF(AN287=21,J287,0)</f>
        <v>5000</v>
      </c>
      <c r="AN287" s="22">
        <v>21</v>
      </c>
      <c r="AO287" s="22">
        <f>G287*0</f>
        <v>0</v>
      </c>
      <c r="AP287" s="22">
        <f>G287*(1-0)</f>
        <v>5000</v>
      </c>
      <c r="AQ287" s="38" t="s">
        <v>7</v>
      </c>
      <c r="AV287" s="22">
        <f>AW287+AX287</f>
        <v>5000</v>
      </c>
      <c r="AW287" s="22">
        <f>F287*AO287</f>
        <v>0</v>
      </c>
      <c r="AX287" s="22">
        <f>F287*AP287</f>
        <v>5000</v>
      </c>
      <c r="AY287" s="77" t="s">
        <v>892</v>
      </c>
      <c r="AZ287" s="77" t="s">
        <v>931</v>
      </c>
      <c r="BA287" s="34" t="s">
        <v>935</v>
      </c>
      <c r="BC287" s="22">
        <f>AW287+AX287</f>
        <v>5000</v>
      </c>
      <c r="BD287" s="22">
        <f>G287/(100-BE287)*100</f>
        <v>5000</v>
      </c>
      <c r="BE287" s="22">
        <v>0</v>
      </c>
      <c r="BF287" s="22">
        <f>L287</f>
        <v>0</v>
      </c>
      <c r="BH287" s="5">
        <f>F287*AO287</f>
        <v>0</v>
      </c>
      <c r="BI287" s="5">
        <f>F287*AP287</f>
        <v>5000</v>
      </c>
      <c r="BJ287" s="5">
        <f>F287*G287</f>
        <v>5000</v>
      </c>
    </row>
    <row r="288" spans="1:62">
      <c r="A288" s="1" t="s">
        <v>186</v>
      </c>
      <c r="B288" s="1" t="s">
        <v>659</v>
      </c>
      <c r="C288" s="1" t="s">
        <v>227</v>
      </c>
      <c r="D288" s="1" t="s">
        <v>415</v>
      </c>
      <c r="E288" s="1" t="s">
        <v>634</v>
      </c>
      <c r="F288" s="5">
        <f>'Rozpočet - vybrané sloupce'!AN233</f>
        <v>1</v>
      </c>
      <c r="G288" s="5">
        <f>'Rozpočet - vybrané sloupce'!AS233</f>
        <v>13000</v>
      </c>
      <c r="H288" s="5">
        <f>F288*AO288</f>
        <v>0</v>
      </c>
      <c r="I288" s="5">
        <f>F288*AP288</f>
        <v>13000</v>
      </c>
      <c r="J288" s="5">
        <f>F288*G288</f>
        <v>13000</v>
      </c>
      <c r="K288" s="5">
        <v>0</v>
      </c>
      <c r="L288" s="5">
        <f>F288*K288</f>
        <v>0</v>
      </c>
      <c r="M288" s="38"/>
      <c r="Z288" s="22">
        <f>IF(AQ288="5",BJ288,0)</f>
        <v>0</v>
      </c>
      <c r="AB288" s="22">
        <f>IF(AQ288="1",BH288,0)</f>
        <v>0</v>
      </c>
      <c r="AC288" s="22">
        <f>IF(AQ288="1",BI288,0)</f>
        <v>13000</v>
      </c>
      <c r="AD288" s="22">
        <f>IF(AQ288="7",BH288,0)</f>
        <v>0</v>
      </c>
      <c r="AE288" s="22">
        <f>IF(AQ288="7",BI288,0)</f>
        <v>0</v>
      </c>
      <c r="AF288" s="22">
        <f>IF(AQ288="2",BH288,0)</f>
        <v>0</v>
      </c>
      <c r="AG288" s="22">
        <f>IF(AQ288="2",BI288,0)</f>
        <v>0</v>
      </c>
      <c r="AH288" s="22">
        <f>IF(AQ288="0",BJ288,0)</f>
        <v>0</v>
      </c>
      <c r="AI288" s="34" t="s">
        <v>659</v>
      </c>
      <c r="AJ288" s="5">
        <f>IF(AN288=0,J288,0)</f>
        <v>0</v>
      </c>
      <c r="AK288" s="5">
        <f>IF(AN288=15,J288,0)</f>
        <v>0</v>
      </c>
      <c r="AL288" s="5">
        <f>IF(AN288=21,J288,0)</f>
        <v>13000</v>
      </c>
      <c r="AN288" s="22">
        <v>21</v>
      </c>
      <c r="AO288" s="22">
        <f>G288*0</f>
        <v>0</v>
      </c>
      <c r="AP288" s="22">
        <f>G288*(1-0)</f>
        <v>13000</v>
      </c>
      <c r="AQ288" s="38" t="s">
        <v>7</v>
      </c>
      <c r="AV288" s="22">
        <f>AW288+AX288</f>
        <v>13000</v>
      </c>
      <c r="AW288" s="22">
        <f>F288*AO288</f>
        <v>0</v>
      </c>
      <c r="AX288" s="22">
        <f>F288*AP288</f>
        <v>13000</v>
      </c>
      <c r="AY288" s="77" t="s">
        <v>892</v>
      </c>
      <c r="AZ288" s="77" t="s">
        <v>931</v>
      </c>
      <c r="BA288" s="34" t="s">
        <v>935</v>
      </c>
      <c r="BC288" s="22">
        <f>AW288+AX288</f>
        <v>13000</v>
      </c>
      <c r="BD288" s="22">
        <f>G288/(100-BE288)*100</f>
        <v>13000</v>
      </c>
      <c r="BE288" s="22">
        <v>0</v>
      </c>
      <c r="BF288" s="22">
        <f>L288</f>
        <v>0</v>
      </c>
      <c r="BH288" s="5">
        <f>F288*AO288</f>
        <v>0</v>
      </c>
      <c r="BI288" s="5">
        <f>F288*AP288</f>
        <v>13000</v>
      </c>
      <c r="BJ288" s="5">
        <f>F288*G288</f>
        <v>13000</v>
      </c>
    </row>
    <row r="289" spans="1:62" ht="64.150000000000006" customHeight="1">
      <c r="C289" s="66" t="s">
        <v>660</v>
      </c>
      <c r="D289" s="175" t="s">
        <v>677</v>
      </c>
      <c r="E289" s="176"/>
      <c r="F289" s="176"/>
      <c r="G289" s="176"/>
      <c r="H289" s="176"/>
      <c r="I289" s="176"/>
      <c r="J289" s="176"/>
      <c r="K289" s="176"/>
      <c r="L289" s="176"/>
      <c r="M289" s="176"/>
    </row>
    <row r="290" spans="1:62">
      <c r="A290" s="1" t="s">
        <v>187</v>
      </c>
      <c r="B290" s="1" t="s">
        <v>659</v>
      </c>
      <c r="C290" s="1" t="s">
        <v>228</v>
      </c>
      <c r="D290" s="1" t="s">
        <v>416</v>
      </c>
      <c r="E290" s="1" t="s">
        <v>634</v>
      </c>
      <c r="F290" s="5">
        <f>'Rozpočet - vybrané sloupce'!AN234</f>
        <v>1</v>
      </c>
      <c r="G290" s="5">
        <f>'Rozpočet - vybrané sloupce'!AS234</f>
        <v>15000</v>
      </c>
      <c r="H290" s="5">
        <f>F290*AO290</f>
        <v>0</v>
      </c>
      <c r="I290" s="5">
        <f>F290*AP290</f>
        <v>15000</v>
      </c>
      <c r="J290" s="5">
        <f>F290*G290</f>
        <v>15000</v>
      </c>
      <c r="K290" s="5">
        <v>0</v>
      </c>
      <c r="L290" s="5">
        <f>F290*K290</f>
        <v>0</v>
      </c>
      <c r="M290" s="38"/>
      <c r="Z290" s="22">
        <f>IF(AQ290="5",BJ290,0)</f>
        <v>0</v>
      </c>
      <c r="AB290" s="22">
        <f>IF(AQ290="1",BH290,0)</f>
        <v>0</v>
      </c>
      <c r="AC290" s="22">
        <f>IF(AQ290="1",BI290,0)</f>
        <v>15000</v>
      </c>
      <c r="AD290" s="22">
        <f>IF(AQ290="7",BH290,0)</f>
        <v>0</v>
      </c>
      <c r="AE290" s="22">
        <f>IF(AQ290="7",BI290,0)</f>
        <v>0</v>
      </c>
      <c r="AF290" s="22">
        <f>IF(AQ290="2",BH290,0)</f>
        <v>0</v>
      </c>
      <c r="AG290" s="22">
        <f>IF(AQ290="2",BI290,0)</f>
        <v>0</v>
      </c>
      <c r="AH290" s="22">
        <f>IF(AQ290="0",BJ290,0)</f>
        <v>0</v>
      </c>
      <c r="AI290" s="34" t="s">
        <v>659</v>
      </c>
      <c r="AJ290" s="5">
        <f>IF(AN290=0,J290,0)</f>
        <v>0</v>
      </c>
      <c r="AK290" s="5">
        <f>IF(AN290=15,J290,0)</f>
        <v>0</v>
      </c>
      <c r="AL290" s="5">
        <f>IF(AN290=21,J290,0)</f>
        <v>15000</v>
      </c>
      <c r="AN290" s="22">
        <v>21</v>
      </c>
      <c r="AO290" s="22">
        <f>G290*0</f>
        <v>0</v>
      </c>
      <c r="AP290" s="22">
        <f>G290*(1-0)</f>
        <v>15000</v>
      </c>
      <c r="AQ290" s="38" t="s">
        <v>7</v>
      </c>
      <c r="AV290" s="22">
        <f>AW290+AX290</f>
        <v>15000</v>
      </c>
      <c r="AW290" s="22">
        <f>F290*AO290</f>
        <v>0</v>
      </c>
      <c r="AX290" s="22">
        <f>F290*AP290</f>
        <v>15000</v>
      </c>
      <c r="AY290" s="77" t="s">
        <v>892</v>
      </c>
      <c r="AZ290" s="77" t="s">
        <v>931</v>
      </c>
      <c r="BA290" s="34" t="s">
        <v>935</v>
      </c>
      <c r="BC290" s="22">
        <f>AW290+AX290</f>
        <v>15000</v>
      </c>
      <c r="BD290" s="22">
        <f>G290/(100-BE290)*100</f>
        <v>15000</v>
      </c>
      <c r="BE290" s="22">
        <v>0</v>
      </c>
      <c r="BF290" s="22">
        <f>L290</f>
        <v>0</v>
      </c>
      <c r="BH290" s="5">
        <f>F290*AO290</f>
        <v>0</v>
      </c>
      <c r="BI290" s="5">
        <f>F290*AP290</f>
        <v>15000</v>
      </c>
      <c r="BJ290" s="5">
        <f>F290*G290</f>
        <v>15000</v>
      </c>
    </row>
    <row r="291" spans="1:62" ht="102.6" customHeight="1">
      <c r="C291" s="66" t="s">
        <v>660</v>
      </c>
      <c r="D291" s="175" t="s">
        <v>675</v>
      </c>
      <c r="E291" s="176"/>
      <c r="F291" s="176"/>
      <c r="G291" s="176"/>
      <c r="H291" s="176"/>
      <c r="I291" s="176"/>
      <c r="J291" s="176"/>
      <c r="K291" s="176"/>
      <c r="L291" s="176"/>
      <c r="M291" s="176"/>
    </row>
    <row r="292" spans="1:62">
      <c r="A292" s="1" t="s">
        <v>188</v>
      </c>
      <c r="B292" s="1" t="s">
        <v>659</v>
      </c>
      <c r="C292" s="1" t="s">
        <v>229</v>
      </c>
      <c r="D292" s="1" t="s">
        <v>417</v>
      </c>
      <c r="E292" s="1" t="s">
        <v>634</v>
      </c>
      <c r="F292" s="5">
        <f>'Rozpočet - vybrané sloupce'!AN235</f>
        <v>1</v>
      </c>
      <c r="G292" s="5">
        <f>'Rozpočet - vybrané sloupce'!AS235</f>
        <v>10000</v>
      </c>
      <c r="H292" s="5">
        <f>F292*AO292</f>
        <v>0</v>
      </c>
      <c r="I292" s="5">
        <f>F292*AP292</f>
        <v>10000</v>
      </c>
      <c r="J292" s="5">
        <f>F292*G292</f>
        <v>10000</v>
      </c>
      <c r="K292" s="5">
        <v>0</v>
      </c>
      <c r="L292" s="5">
        <f>F292*K292</f>
        <v>0</v>
      </c>
      <c r="M292" s="38"/>
      <c r="Z292" s="22">
        <f>IF(AQ292="5",BJ292,0)</f>
        <v>0</v>
      </c>
      <c r="AB292" s="22">
        <f>IF(AQ292="1",BH292,0)</f>
        <v>0</v>
      </c>
      <c r="AC292" s="22">
        <f>IF(AQ292="1",BI292,0)</f>
        <v>10000</v>
      </c>
      <c r="AD292" s="22">
        <f>IF(AQ292="7",BH292,0)</f>
        <v>0</v>
      </c>
      <c r="AE292" s="22">
        <f>IF(AQ292="7",BI292,0)</f>
        <v>0</v>
      </c>
      <c r="AF292" s="22">
        <f>IF(AQ292="2",BH292,0)</f>
        <v>0</v>
      </c>
      <c r="AG292" s="22">
        <f>IF(AQ292="2",BI292,0)</f>
        <v>0</v>
      </c>
      <c r="AH292" s="22">
        <f>IF(AQ292="0",BJ292,0)</f>
        <v>0</v>
      </c>
      <c r="AI292" s="34" t="s">
        <v>659</v>
      </c>
      <c r="AJ292" s="5">
        <f>IF(AN292=0,J292,0)</f>
        <v>0</v>
      </c>
      <c r="AK292" s="5">
        <f>IF(AN292=15,J292,0)</f>
        <v>0</v>
      </c>
      <c r="AL292" s="5">
        <f>IF(AN292=21,J292,0)</f>
        <v>10000</v>
      </c>
      <c r="AN292" s="22">
        <v>21</v>
      </c>
      <c r="AO292" s="22">
        <f>G292*0</f>
        <v>0</v>
      </c>
      <c r="AP292" s="22">
        <f>G292*(1-0)</f>
        <v>10000</v>
      </c>
      <c r="AQ292" s="38" t="s">
        <v>7</v>
      </c>
      <c r="AV292" s="22">
        <f>AW292+AX292</f>
        <v>10000</v>
      </c>
      <c r="AW292" s="22">
        <f>F292*AO292</f>
        <v>0</v>
      </c>
      <c r="AX292" s="22">
        <f>F292*AP292</f>
        <v>10000</v>
      </c>
      <c r="AY292" s="77" t="s">
        <v>892</v>
      </c>
      <c r="AZ292" s="77" t="s">
        <v>931</v>
      </c>
      <c r="BA292" s="34" t="s">
        <v>935</v>
      </c>
      <c r="BC292" s="22">
        <f>AW292+AX292</f>
        <v>10000</v>
      </c>
      <c r="BD292" s="22">
        <f>G292/(100-BE292)*100</f>
        <v>10000</v>
      </c>
      <c r="BE292" s="22">
        <v>0</v>
      </c>
      <c r="BF292" s="22">
        <f>L292</f>
        <v>0</v>
      </c>
      <c r="BH292" s="5">
        <f>F292*AO292</f>
        <v>0</v>
      </c>
      <c r="BI292" s="5">
        <f>F292*AP292</f>
        <v>10000</v>
      </c>
      <c r="BJ292" s="5">
        <f>F292*G292</f>
        <v>10000</v>
      </c>
    </row>
    <row r="293" spans="1:62">
      <c r="C293" s="66" t="s">
        <v>660</v>
      </c>
      <c r="D293" s="175" t="s">
        <v>676</v>
      </c>
      <c r="E293" s="176"/>
      <c r="F293" s="176"/>
      <c r="G293" s="176"/>
      <c r="H293" s="176"/>
      <c r="I293" s="176"/>
      <c r="J293" s="176"/>
      <c r="K293" s="176"/>
      <c r="L293" s="176"/>
      <c r="M293" s="176"/>
    </row>
    <row r="294" spans="1:62">
      <c r="A294" s="1" t="s">
        <v>189</v>
      </c>
      <c r="B294" s="1" t="s">
        <v>659</v>
      </c>
      <c r="C294" s="1" t="s">
        <v>231</v>
      </c>
      <c r="D294" s="1" t="s">
        <v>419</v>
      </c>
      <c r="E294" s="1" t="s">
        <v>634</v>
      </c>
      <c r="F294" s="5">
        <f>'Rozpočet - vybrané sloupce'!AN236</f>
        <v>1</v>
      </c>
      <c r="G294" s="5">
        <f>'Rozpočet - vybrané sloupce'!AS236</f>
        <v>1500</v>
      </c>
      <c r="H294" s="5">
        <f>F294*AO294</f>
        <v>0</v>
      </c>
      <c r="I294" s="5">
        <f>F294*AP294</f>
        <v>1500</v>
      </c>
      <c r="J294" s="5">
        <f>F294*G294</f>
        <v>1500</v>
      </c>
      <c r="K294" s="5">
        <v>0</v>
      </c>
      <c r="L294" s="5">
        <f>F294*K294</f>
        <v>0</v>
      </c>
      <c r="M294" s="38"/>
      <c r="Z294" s="22">
        <f>IF(AQ294="5",BJ294,0)</f>
        <v>0</v>
      </c>
      <c r="AB294" s="22">
        <f>IF(AQ294="1",BH294,0)</f>
        <v>0</v>
      </c>
      <c r="AC294" s="22">
        <f>IF(AQ294="1",BI294,0)</f>
        <v>1500</v>
      </c>
      <c r="AD294" s="22">
        <f>IF(AQ294="7",BH294,0)</f>
        <v>0</v>
      </c>
      <c r="AE294" s="22">
        <f>IF(AQ294="7",BI294,0)</f>
        <v>0</v>
      </c>
      <c r="AF294" s="22">
        <f>IF(AQ294="2",BH294,0)</f>
        <v>0</v>
      </c>
      <c r="AG294" s="22">
        <f>IF(AQ294="2",BI294,0)</f>
        <v>0</v>
      </c>
      <c r="AH294" s="22">
        <f>IF(AQ294="0",BJ294,0)</f>
        <v>0</v>
      </c>
      <c r="AI294" s="34" t="s">
        <v>659</v>
      </c>
      <c r="AJ294" s="5">
        <f>IF(AN294=0,J294,0)</f>
        <v>0</v>
      </c>
      <c r="AK294" s="5">
        <f>IF(AN294=15,J294,0)</f>
        <v>0</v>
      </c>
      <c r="AL294" s="5">
        <f>IF(AN294=21,J294,0)</f>
        <v>1500</v>
      </c>
      <c r="AN294" s="22">
        <v>21</v>
      </c>
      <c r="AO294" s="22">
        <f>G294*0</f>
        <v>0</v>
      </c>
      <c r="AP294" s="22">
        <f>G294*(1-0)</f>
        <v>1500</v>
      </c>
      <c r="AQ294" s="38" t="s">
        <v>7</v>
      </c>
      <c r="AV294" s="22">
        <f>AW294+AX294</f>
        <v>1500</v>
      </c>
      <c r="AW294" s="22">
        <f>F294*AO294</f>
        <v>0</v>
      </c>
      <c r="AX294" s="22">
        <f>F294*AP294</f>
        <v>1500</v>
      </c>
      <c r="AY294" s="77" t="s">
        <v>892</v>
      </c>
      <c r="AZ294" s="77" t="s">
        <v>931</v>
      </c>
      <c r="BA294" s="34" t="s">
        <v>935</v>
      </c>
      <c r="BC294" s="22">
        <f>AW294+AX294</f>
        <v>1500</v>
      </c>
      <c r="BD294" s="22">
        <f>G294/(100-BE294)*100</f>
        <v>1500</v>
      </c>
      <c r="BE294" s="22">
        <v>0</v>
      </c>
      <c r="BF294" s="22">
        <f>L294</f>
        <v>0</v>
      </c>
      <c r="BH294" s="5">
        <f>F294*AO294</f>
        <v>0</v>
      </c>
      <c r="BI294" s="5">
        <f>F294*AP294</f>
        <v>1500</v>
      </c>
      <c r="BJ294" s="5">
        <f>F294*G294</f>
        <v>1500</v>
      </c>
    </row>
    <row r="295" spans="1:62">
      <c r="A295" s="1" t="s">
        <v>190</v>
      </c>
      <c r="B295" s="1" t="s">
        <v>659</v>
      </c>
      <c r="C295" s="1" t="s">
        <v>232</v>
      </c>
      <c r="D295" s="1" t="s">
        <v>420</v>
      </c>
      <c r="E295" s="1" t="s">
        <v>634</v>
      </c>
      <c r="F295" s="5">
        <f>'Rozpočet - vybrané sloupce'!AN237</f>
        <v>1</v>
      </c>
      <c r="G295" s="5">
        <f>'Rozpočet - vybrané sloupce'!AS237</f>
        <v>13000</v>
      </c>
      <c r="H295" s="5">
        <f>F295*AO295</f>
        <v>0</v>
      </c>
      <c r="I295" s="5">
        <f>F295*AP295</f>
        <v>13000</v>
      </c>
      <c r="J295" s="5">
        <f>F295*G295</f>
        <v>13000</v>
      </c>
      <c r="K295" s="5">
        <v>0</v>
      </c>
      <c r="L295" s="5">
        <f>F295*K295</f>
        <v>0</v>
      </c>
      <c r="M295" s="38"/>
      <c r="Z295" s="22">
        <f>IF(AQ295="5",BJ295,0)</f>
        <v>0</v>
      </c>
      <c r="AB295" s="22">
        <f>IF(AQ295="1",BH295,0)</f>
        <v>0</v>
      </c>
      <c r="AC295" s="22">
        <f>IF(AQ295="1",BI295,0)</f>
        <v>13000</v>
      </c>
      <c r="AD295" s="22">
        <f>IF(AQ295="7",BH295,0)</f>
        <v>0</v>
      </c>
      <c r="AE295" s="22">
        <f>IF(AQ295="7",BI295,0)</f>
        <v>0</v>
      </c>
      <c r="AF295" s="22">
        <f>IF(AQ295="2",BH295,0)</f>
        <v>0</v>
      </c>
      <c r="AG295" s="22">
        <f>IF(AQ295="2",BI295,0)</f>
        <v>0</v>
      </c>
      <c r="AH295" s="22">
        <f>IF(AQ295="0",BJ295,0)</f>
        <v>0</v>
      </c>
      <c r="AI295" s="34" t="s">
        <v>659</v>
      </c>
      <c r="AJ295" s="5">
        <f>IF(AN295=0,J295,0)</f>
        <v>0</v>
      </c>
      <c r="AK295" s="5">
        <f>IF(AN295=15,J295,0)</f>
        <v>0</v>
      </c>
      <c r="AL295" s="5">
        <f>IF(AN295=21,J295,0)</f>
        <v>13000</v>
      </c>
      <c r="AN295" s="22">
        <v>21</v>
      </c>
      <c r="AO295" s="22">
        <f>G295*0</f>
        <v>0</v>
      </c>
      <c r="AP295" s="22">
        <f>G295*(1-0)</f>
        <v>13000</v>
      </c>
      <c r="AQ295" s="38" t="s">
        <v>7</v>
      </c>
      <c r="AV295" s="22">
        <f>AW295+AX295</f>
        <v>13000</v>
      </c>
      <c r="AW295" s="22">
        <f>F295*AO295</f>
        <v>0</v>
      </c>
      <c r="AX295" s="22">
        <f>F295*AP295</f>
        <v>13000</v>
      </c>
      <c r="AY295" s="77" t="s">
        <v>892</v>
      </c>
      <c r="AZ295" s="77" t="s">
        <v>931</v>
      </c>
      <c r="BA295" s="34" t="s">
        <v>935</v>
      </c>
      <c r="BC295" s="22">
        <f>AW295+AX295</f>
        <v>13000</v>
      </c>
      <c r="BD295" s="22">
        <f>G295/(100-BE295)*100</f>
        <v>13000</v>
      </c>
      <c r="BE295" s="22">
        <v>0</v>
      </c>
      <c r="BF295" s="22">
        <f>L295</f>
        <v>0</v>
      </c>
      <c r="BH295" s="5">
        <f>F295*AO295</f>
        <v>0</v>
      </c>
      <c r="BI295" s="5">
        <f>F295*AP295</f>
        <v>13000</v>
      </c>
      <c r="BJ295" s="5">
        <f>F295*G295</f>
        <v>13000</v>
      </c>
    </row>
    <row r="296" spans="1:62">
      <c r="A296" s="1" t="s">
        <v>191</v>
      </c>
      <c r="B296" s="1" t="s">
        <v>659</v>
      </c>
      <c r="C296" s="1" t="s">
        <v>233</v>
      </c>
      <c r="D296" s="1" t="s">
        <v>623</v>
      </c>
      <c r="E296" s="1" t="s">
        <v>634</v>
      </c>
      <c r="F296" s="5">
        <f>'Rozpočet - vybrané sloupce'!AN238</f>
        <v>1</v>
      </c>
      <c r="G296" s="5">
        <f>'Rozpočet - vybrané sloupce'!AS238</f>
        <v>6000</v>
      </c>
      <c r="H296" s="5">
        <f>F296*AO296</f>
        <v>0</v>
      </c>
      <c r="I296" s="5">
        <f>F296*AP296</f>
        <v>6000</v>
      </c>
      <c r="J296" s="5">
        <f>F296*G296</f>
        <v>6000</v>
      </c>
      <c r="K296" s="5">
        <v>0</v>
      </c>
      <c r="L296" s="5">
        <f>F296*K296</f>
        <v>0</v>
      </c>
      <c r="M296" s="38"/>
      <c r="Z296" s="22">
        <f>IF(AQ296="5",BJ296,0)</f>
        <v>0</v>
      </c>
      <c r="AB296" s="22">
        <f>IF(AQ296="1",BH296,0)</f>
        <v>0</v>
      </c>
      <c r="AC296" s="22">
        <f>IF(AQ296="1",BI296,0)</f>
        <v>6000</v>
      </c>
      <c r="AD296" s="22">
        <f>IF(AQ296="7",BH296,0)</f>
        <v>0</v>
      </c>
      <c r="AE296" s="22">
        <f>IF(AQ296="7",BI296,0)</f>
        <v>0</v>
      </c>
      <c r="AF296" s="22">
        <f>IF(AQ296="2",BH296,0)</f>
        <v>0</v>
      </c>
      <c r="AG296" s="22">
        <f>IF(AQ296="2",BI296,0)</f>
        <v>0</v>
      </c>
      <c r="AH296" s="22">
        <f>IF(AQ296="0",BJ296,0)</f>
        <v>0</v>
      </c>
      <c r="AI296" s="34" t="s">
        <v>659</v>
      </c>
      <c r="AJ296" s="5">
        <f>IF(AN296=0,J296,0)</f>
        <v>0</v>
      </c>
      <c r="AK296" s="5">
        <f>IF(AN296=15,J296,0)</f>
        <v>0</v>
      </c>
      <c r="AL296" s="5">
        <f>IF(AN296=21,J296,0)</f>
        <v>6000</v>
      </c>
      <c r="AN296" s="22">
        <v>21</v>
      </c>
      <c r="AO296" s="22">
        <f>G296*0</f>
        <v>0</v>
      </c>
      <c r="AP296" s="22">
        <f>G296*(1-0)</f>
        <v>6000</v>
      </c>
      <c r="AQ296" s="38" t="s">
        <v>7</v>
      </c>
      <c r="AV296" s="22">
        <f>AW296+AX296</f>
        <v>6000</v>
      </c>
      <c r="AW296" s="22">
        <f>F296*AO296</f>
        <v>0</v>
      </c>
      <c r="AX296" s="22">
        <f>F296*AP296</f>
        <v>6000</v>
      </c>
      <c r="AY296" s="77" t="s">
        <v>892</v>
      </c>
      <c r="AZ296" s="77" t="s">
        <v>931</v>
      </c>
      <c r="BA296" s="34" t="s">
        <v>935</v>
      </c>
      <c r="BC296" s="22">
        <f>AW296+AX296</f>
        <v>6000</v>
      </c>
      <c r="BD296" s="22">
        <f>G296/(100-BE296)*100</f>
        <v>6000</v>
      </c>
      <c r="BE296" s="22">
        <v>0</v>
      </c>
      <c r="BF296" s="22">
        <f>L296</f>
        <v>0</v>
      </c>
      <c r="BH296" s="5">
        <f>F296*AO296</f>
        <v>0</v>
      </c>
      <c r="BI296" s="5">
        <f>F296*AP296</f>
        <v>6000</v>
      </c>
      <c r="BJ296" s="5">
        <f>F296*G296</f>
        <v>6000</v>
      </c>
    </row>
    <row r="297" spans="1:62">
      <c r="A297" s="59"/>
      <c r="B297" s="28" t="s">
        <v>659</v>
      </c>
      <c r="C297" s="28" t="s">
        <v>17</v>
      </c>
      <c r="D297" s="28" t="s">
        <v>422</v>
      </c>
      <c r="E297" s="59" t="s">
        <v>6</v>
      </c>
      <c r="F297" s="59" t="s">
        <v>6</v>
      </c>
      <c r="G297" s="59" t="s">
        <v>6</v>
      </c>
      <c r="H297" s="8">
        <f>SUM(H298:H300)</f>
        <v>0</v>
      </c>
      <c r="I297" s="8">
        <f>SUM(I298:I300)</f>
        <v>85155.044999999998</v>
      </c>
      <c r="J297" s="8">
        <f>SUM(J298:J300)</f>
        <v>85155.044999999998</v>
      </c>
      <c r="K297" s="34"/>
      <c r="L297" s="8">
        <f>SUM(L298:L300)</f>
        <v>373.291</v>
      </c>
      <c r="M297" s="34"/>
      <c r="AI297" s="34" t="s">
        <v>659</v>
      </c>
      <c r="AS297" s="8">
        <f>SUM(AJ298:AJ300)</f>
        <v>0</v>
      </c>
      <c r="AT297" s="8">
        <f>SUM(AK298:AK300)</f>
        <v>0</v>
      </c>
      <c r="AU297" s="8">
        <f>SUM(AL298:AL300)</f>
        <v>85155.044999999998</v>
      </c>
    </row>
    <row r="298" spans="1:62">
      <c r="A298" s="1" t="s">
        <v>192</v>
      </c>
      <c r="B298" s="1" t="s">
        <v>659</v>
      </c>
      <c r="C298" s="1" t="s">
        <v>234</v>
      </c>
      <c r="D298" s="1" t="s">
        <v>423</v>
      </c>
      <c r="E298" s="1" t="s">
        <v>635</v>
      </c>
      <c r="F298" s="5">
        <f>'Rozpočet - vybrané sloupce'!AN240</f>
        <v>78</v>
      </c>
      <c r="G298" s="5">
        <f>'Rozpočet - vybrané sloupce'!AS240</f>
        <v>91</v>
      </c>
      <c r="H298" s="5">
        <f>F298*AO298</f>
        <v>0</v>
      </c>
      <c r="I298" s="5">
        <f>F298*AP298</f>
        <v>7098</v>
      </c>
      <c r="J298" s="5">
        <f>F298*G298</f>
        <v>7098</v>
      </c>
      <c r="K298" s="5">
        <v>0.27</v>
      </c>
      <c r="L298" s="5">
        <f>F298*K298</f>
        <v>21.060000000000002</v>
      </c>
      <c r="M298" s="38" t="s">
        <v>653</v>
      </c>
      <c r="Z298" s="22">
        <f>IF(AQ298="5",BJ298,0)</f>
        <v>0</v>
      </c>
      <c r="AB298" s="22">
        <f>IF(AQ298="1",BH298,0)</f>
        <v>0</v>
      </c>
      <c r="AC298" s="22">
        <f>IF(AQ298="1",BI298,0)</f>
        <v>7098</v>
      </c>
      <c r="AD298" s="22">
        <f>IF(AQ298="7",BH298,0)</f>
        <v>0</v>
      </c>
      <c r="AE298" s="22">
        <f>IF(AQ298="7",BI298,0)</f>
        <v>0</v>
      </c>
      <c r="AF298" s="22">
        <f>IF(AQ298="2",BH298,0)</f>
        <v>0</v>
      </c>
      <c r="AG298" s="22">
        <f>IF(AQ298="2",BI298,0)</f>
        <v>0</v>
      </c>
      <c r="AH298" s="22">
        <f>IF(AQ298="0",BJ298,0)</f>
        <v>0</v>
      </c>
      <c r="AI298" s="34" t="s">
        <v>659</v>
      </c>
      <c r="AJ298" s="5">
        <f>IF(AN298=0,J298,0)</f>
        <v>0</v>
      </c>
      <c r="AK298" s="5">
        <f>IF(AN298=15,J298,0)</f>
        <v>0</v>
      </c>
      <c r="AL298" s="5">
        <f>IF(AN298=21,J298,0)</f>
        <v>7098</v>
      </c>
      <c r="AN298" s="22">
        <v>21</v>
      </c>
      <c r="AO298" s="22">
        <f>G298*0</f>
        <v>0</v>
      </c>
      <c r="AP298" s="22">
        <f>G298*(1-0)</f>
        <v>91</v>
      </c>
      <c r="AQ298" s="38" t="s">
        <v>7</v>
      </c>
      <c r="AV298" s="22">
        <f>AW298+AX298</f>
        <v>7098</v>
      </c>
      <c r="AW298" s="22">
        <f>F298*AO298</f>
        <v>0</v>
      </c>
      <c r="AX298" s="22">
        <f>F298*AP298</f>
        <v>7098</v>
      </c>
      <c r="AY298" s="77" t="s">
        <v>893</v>
      </c>
      <c r="AZ298" s="77" t="s">
        <v>931</v>
      </c>
      <c r="BA298" s="34" t="s">
        <v>935</v>
      </c>
      <c r="BC298" s="22">
        <f>AW298+AX298</f>
        <v>7098</v>
      </c>
      <c r="BD298" s="22">
        <f>G298/(100-BE298)*100</f>
        <v>91</v>
      </c>
      <c r="BE298" s="22">
        <v>0</v>
      </c>
      <c r="BF298" s="22">
        <f>L298</f>
        <v>21.060000000000002</v>
      </c>
      <c r="BH298" s="5">
        <f>F298*AO298</f>
        <v>0</v>
      </c>
      <c r="BI298" s="5">
        <f>F298*AP298</f>
        <v>7098</v>
      </c>
      <c r="BJ298" s="5">
        <f>F298*G298</f>
        <v>7098</v>
      </c>
    </row>
    <row r="299" spans="1:62">
      <c r="A299" s="1" t="s">
        <v>193</v>
      </c>
      <c r="B299" s="1" t="s">
        <v>659</v>
      </c>
      <c r="C299" s="1" t="s">
        <v>235</v>
      </c>
      <c r="D299" s="1" t="s">
        <v>424</v>
      </c>
      <c r="E299" s="1" t="s">
        <v>636</v>
      </c>
      <c r="F299" s="5">
        <f>'Rozpočet - vybrané sloupce'!AN241</f>
        <v>390.5</v>
      </c>
      <c r="G299" s="5">
        <f>'Rozpočet - vybrané sloupce'!AS241</f>
        <v>125.99</v>
      </c>
      <c r="H299" s="5">
        <f>F299*AO299</f>
        <v>0</v>
      </c>
      <c r="I299" s="5">
        <f>F299*AP299</f>
        <v>49199.095000000001</v>
      </c>
      <c r="J299" s="5">
        <f>F299*G299</f>
        <v>49199.095000000001</v>
      </c>
      <c r="K299" s="5">
        <v>0.17599999999999999</v>
      </c>
      <c r="L299" s="5">
        <f>F299*K299</f>
        <v>68.727999999999994</v>
      </c>
      <c r="M299" s="38" t="s">
        <v>653</v>
      </c>
      <c r="Z299" s="22">
        <f>IF(AQ299="5",BJ299,0)</f>
        <v>0</v>
      </c>
      <c r="AB299" s="22">
        <f>IF(AQ299="1",BH299,0)</f>
        <v>0</v>
      </c>
      <c r="AC299" s="22">
        <f>IF(AQ299="1",BI299,0)</f>
        <v>49199.095000000001</v>
      </c>
      <c r="AD299" s="22">
        <f>IF(AQ299="7",BH299,0)</f>
        <v>0</v>
      </c>
      <c r="AE299" s="22">
        <f>IF(AQ299="7",BI299,0)</f>
        <v>0</v>
      </c>
      <c r="AF299" s="22">
        <f>IF(AQ299="2",BH299,0)</f>
        <v>0</v>
      </c>
      <c r="AG299" s="22">
        <f>IF(AQ299="2",BI299,0)</f>
        <v>0</v>
      </c>
      <c r="AH299" s="22">
        <f>IF(AQ299="0",BJ299,0)</f>
        <v>0</v>
      </c>
      <c r="AI299" s="34" t="s">
        <v>659</v>
      </c>
      <c r="AJ299" s="5">
        <f>IF(AN299=0,J299,0)</f>
        <v>0</v>
      </c>
      <c r="AK299" s="5">
        <f>IF(AN299=15,J299,0)</f>
        <v>0</v>
      </c>
      <c r="AL299" s="5">
        <f>IF(AN299=21,J299,0)</f>
        <v>49199.095000000001</v>
      </c>
      <c r="AN299" s="22">
        <v>21</v>
      </c>
      <c r="AO299" s="22">
        <f>G299*0</f>
        <v>0</v>
      </c>
      <c r="AP299" s="22">
        <f>G299*(1-0)</f>
        <v>125.99</v>
      </c>
      <c r="AQ299" s="38" t="s">
        <v>7</v>
      </c>
      <c r="AV299" s="22">
        <f>AW299+AX299</f>
        <v>49199.095000000001</v>
      </c>
      <c r="AW299" s="22">
        <f>F299*AO299</f>
        <v>0</v>
      </c>
      <c r="AX299" s="22">
        <f>F299*AP299</f>
        <v>49199.095000000001</v>
      </c>
      <c r="AY299" s="77" t="s">
        <v>893</v>
      </c>
      <c r="AZ299" s="77" t="s">
        <v>931</v>
      </c>
      <c r="BA299" s="34" t="s">
        <v>935</v>
      </c>
      <c r="BC299" s="22">
        <f>AW299+AX299</f>
        <v>49199.095000000001</v>
      </c>
      <c r="BD299" s="22">
        <f>G299/(100-BE299)*100</f>
        <v>125.99000000000001</v>
      </c>
      <c r="BE299" s="22">
        <v>0</v>
      </c>
      <c r="BF299" s="22">
        <f>L299</f>
        <v>68.727999999999994</v>
      </c>
      <c r="BH299" s="5">
        <f>F299*AO299</f>
        <v>0</v>
      </c>
      <c r="BI299" s="5">
        <f>F299*AP299</f>
        <v>49199.095000000001</v>
      </c>
      <c r="BJ299" s="5">
        <f>F299*G299</f>
        <v>49199.095000000001</v>
      </c>
    </row>
    <row r="300" spans="1:62">
      <c r="A300" s="1" t="s">
        <v>194</v>
      </c>
      <c r="B300" s="1" t="s">
        <v>659</v>
      </c>
      <c r="C300" s="1" t="s">
        <v>236</v>
      </c>
      <c r="D300" s="1" t="s">
        <v>425</v>
      </c>
      <c r="E300" s="1" t="s">
        <v>636</v>
      </c>
      <c r="F300" s="5">
        <f>'Rozpočet - vybrané sloupce'!AN242</f>
        <v>390.5</v>
      </c>
      <c r="G300" s="5">
        <f>'Rozpočet - vybrané sloupce'!AS242</f>
        <v>73.900000000000006</v>
      </c>
      <c r="H300" s="5">
        <f>F300*AO300</f>
        <v>0</v>
      </c>
      <c r="I300" s="5">
        <f>F300*AP300</f>
        <v>28857.95</v>
      </c>
      <c r="J300" s="5">
        <f>F300*G300</f>
        <v>28857.95</v>
      </c>
      <c r="K300" s="5">
        <v>0.72599999999999998</v>
      </c>
      <c r="L300" s="5">
        <f>F300*K300</f>
        <v>283.50299999999999</v>
      </c>
      <c r="M300" s="38" t="s">
        <v>653</v>
      </c>
      <c r="Z300" s="22">
        <f>IF(AQ300="5",BJ300,0)</f>
        <v>0</v>
      </c>
      <c r="AB300" s="22">
        <f>IF(AQ300="1",BH300,0)</f>
        <v>0</v>
      </c>
      <c r="AC300" s="22">
        <f>IF(AQ300="1",BI300,0)</f>
        <v>28857.95</v>
      </c>
      <c r="AD300" s="22">
        <f>IF(AQ300="7",BH300,0)</f>
        <v>0</v>
      </c>
      <c r="AE300" s="22">
        <f>IF(AQ300="7",BI300,0)</f>
        <v>0</v>
      </c>
      <c r="AF300" s="22">
        <f>IF(AQ300="2",BH300,0)</f>
        <v>0</v>
      </c>
      <c r="AG300" s="22">
        <f>IF(AQ300="2",BI300,0)</f>
        <v>0</v>
      </c>
      <c r="AH300" s="22">
        <f>IF(AQ300="0",BJ300,0)</f>
        <v>0</v>
      </c>
      <c r="AI300" s="34" t="s">
        <v>659</v>
      </c>
      <c r="AJ300" s="5">
        <f>IF(AN300=0,J300,0)</f>
        <v>0</v>
      </c>
      <c r="AK300" s="5">
        <f>IF(AN300=15,J300,0)</f>
        <v>0</v>
      </c>
      <c r="AL300" s="5">
        <f>IF(AN300=21,J300,0)</f>
        <v>28857.95</v>
      </c>
      <c r="AN300" s="22">
        <v>21</v>
      </c>
      <c r="AO300" s="22">
        <f>G300*0</f>
        <v>0</v>
      </c>
      <c r="AP300" s="22">
        <f>G300*(1-0)</f>
        <v>73.900000000000006</v>
      </c>
      <c r="AQ300" s="38" t="s">
        <v>7</v>
      </c>
      <c r="AV300" s="22">
        <f>AW300+AX300</f>
        <v>28857.95</v>
      </c>
      <c r="AW300" s="22">
        <f>F300*AO300</f>
        <v>0</v>
      </c>
      <c r="AX300" s="22">
        <f>F300*AP300</f>
        <v>28857.95</v>
      </c>
      <c r="AY300" s="77" t="s">
        <v>893</v>
      </c>
      <c r="AZ300" s="77" t="s">
        <v>931</v>
      </c>
      <c r="BA300" s="34" t="s">
        <v>935</v>
      </c>
      <c r="BC300" s="22">
        <f>AW300+AX300</f>
        <v>28857.95</v>
      </c>
      <c r="BD300" s="22">
        <f>G300/(100-BE300)*100</f>
        <v>73.900000000000006</v>
      </c>
      <c r="BE300" s="22">
        <v>0</v>
      </c>
      <c r="BF300" s="22">
        <f>L300</f>
        <v>283.50299999999999</v>
      </c>
      <c r="BH300" s="5">
        <f>F300*AO300</f>
        <v>0</v>
      </c>
      <c r="BI300" s="5">
        <f>F300*AP300</f>
        <v>28857.95</v>
      </c>
      <c r="BJ300" s="5">
        <f>F300*G300</f>
        <v>28857.95</v>
      </c>
    </row>
    <row r="301" spans="1:62" ht="25.7" customHeight="1">
      <c r="C301" s="67" t="s">
        <v>672</v>
      </c>
      <c r="D301" s="167" t="s">
        <v>678</v>
      </c>
      <c r="E301" s="168"/>
      <c r="F301" s="168"/>
      <c r="G301" s="168"/>
      <c r="H301" s="168"/>
      <c r="I301" s="168"/>
      <c r="J301" s="168"/>
      <c r="K301" s="168"/>
      <c r="L301" s="168"/>
      <c r="M301" s="168"/>
    </row>
    <row r="302" spans="1:62">
      <c r="A302" s="59"/>
      <c r="B302" s="28" t="s">
        <v>659</v>
      </c>
      <c r="C302" s="28" t="s">
        <v>18</v>
      </c>
      <c r="D302" s="28" t="s">
        <v>429</v>
      </c>
      <c r="E302" s="59" t="s">
        <v>6</v>
      </c>
      <c r="F302" s="59" t="s">
        <v>6</v>
      </c>
      <c r="G302" s="59" t="s">
        <v>6</v>
      </c>
      <c r="H302" s="8">
        <f>SUM(H303:H309)</f>
        <v>0</v>
      </c>
      <c r="I302" s="8">
        <f>SUM(I303:I309)</f>
        <v>3325.3474999999999</v>
      </c>
      <c r="J302" s="8">
        <f>SUM(J303:J309)</f>
        <v>3325.3474999999999</v>
      </c>
      <c r="K302" s="34"/>
      <c r="L302" s="8">
        <f>SUM(L303:L309)</f>
        <v>0</v>
      </c>
      <c r="M302" s="34"/>
      <c r="AI302" s="34" t="s">
        <v>659</v>
      </c>
      <c r="AS302" s="8">
        <f>SUM(AJ303:AJ309)</f>
        <v>0</v>
      </c>
      <c r="AT302" s="8">
        <f>SUM(AK303:AK309)</f>
        <v>0</v>
      </c>
      <c r="AU302" s="8">
        <f>SUM(AL303:AL309)</f>
        <v>3325.3474999999999</v>
      </c>
    </row>
    <row r="303" spans="1:62">
      <c r="A303" s="1" t="s">
        <v>195</v>
      </c>
      <c r="B303" s="1" t="s">
        <v>659</v>
      </c>
      <c r="C303" s="1" t="s">
        <v>240</v>
      </c>
      <c r="D303" s="1" t="s">
        <v>430</v>
      </c>
      <c r="E303" s="1" t="s">
        <v>638</v>
      </c>
      <c r="F303" s="5">
        <f>'Rozpočet - vybrané sloupce'!AN244</f>
        <v>3.35</v>
      </c>
      <c r="G303" s="5">
        <f>'Rozpočet - vybrané sloupce'!AS244</f>
        <v>74.099999999999994</v>
      </c>
      <c r="H303" s="5">
        <f>F303*AO303</f>
        <v>0</v>
      </c>
      <c r="I303" s="5">
        <f>F303*AP303</f>
        <v>248.23499999999999</v>
      </c>
      <c r="J303" s="5">
        <f>F303*G303</f>
        <v>248.23499999999999</v>
      </c>
      <c r="K303" s="5">
        <v>0</v>
      </c>
      <c r="L303" s="5">
        <f>F303*K303</f>
        <v>0</v>
      </c>
      <c r="M303" s="38" t="s">
        <v>653</v>
      </c>
      <c r="Z303" s="22">
        <f>IF(AQ303="5",BJ303,0)</f>
        <v>0</v>
      </c>
      <c r="AB303" s="22">
        <f>IF(AQ303="1",BH303,0)</f>
        <v>0</v>
      </c>
      <c r="AC303" s="22">
        <f>IF(AQ303="1",BI303,0)</f>
        <v>248.23499999999999</v>
      </c>
      <c r="AD303" s="22">
        <f>IF(AQ303="7",BH303,0)</f>
        <v>0</v>
      </c>
      <c r="AE303" s="22">
        <f>IF(AQ303="7",BI303,0)</f>
        <v>0</v>
      </c>
      <c r="AF303" s="22">
        <f>IF(AQ303="2",BH303,0)</f>
        <v>0</v>
      </c>
      <c r="AG303" s="22">
        <f>IF(AQ303="2",BI303,0)</f>
        <v>0</v>
      </c>
      <c r="AH303" s="22">
        <f>IF(AQ303="0",BJ303,0)</f>
        <v>0</v>
      </c>
      <c r="AI303" s="34" t="s">
        <v>659</v>
      </c>
      <c r="AJ303" s="5">
        <f>IF(AN303=0,J303,0)</f>
        <v>0</v>
      </c>
      <c r="AK303" s="5">
        <f>IF(AN303=15,J303,0)</f>
        <v>0</v>
      </c>
      <c r="AL303" s="5">
        <f>IF(AN303=21,J303,0)</f>
        <v>248.23499999999999</v>
      </c>
      <c r="AN303" s="22">
        <v>21</v>
      </c>
      <c r="AO303" s="22">
        <f>G303*0</f>
        <v>0</v>
      </c>
      <c r="AP303" s="22">
        <f>G303*(1-0)</f>
        <v>74.099999999999994</v>
      </c>
      <c r="AQ303" s="38" t="s">
        <v>7</v>
      </c>
      <c r="AV303" s="22">
        <f>AW303+AX303</f>
        <v>248.23499999999999</v>
      </c>
      <c r="AW303" s="22">
        <f>F303*AO303</f>
        <v>0</v>
      </c>
      <c r="AX303" s="22">
        <f>F303*AP303</f>
        <v>248.23499999999999</v>
      </c>
      <c r="AY303" s="77" t="s">
        <v>894</v>
      </c>
      <c r="AZ303" s="77" t="s">
        <v>931</v>
      </c>
      <c r="BA303" s="34" t="s">
        <v>935</v>
      </c>
      <c r="BC303" s="22">
        <f>AW303+AX303</f>
        <v>248.23499999999999</v>
      </c>
      <c r="BD303" s="22">
        <f>G303/(100-BE303)*100</f>
        <v>74.099999999999994</v>
      </c>
      <c r="BE303" s="22">
        <v>0</v>
      </c>
      <c r="BF303" s="22">
        <f>L303</f>
        <v>0</v>
      </c>
      <c r="BH303" s="5">
        <f>F303*AO303</f>
        <v>0</v>
      </c>
      <c r="BI303" s="5">
        <f>F303*AP303</f>
        <v>248.23499999999999</v>
      </c>
      <c r="BJ303" s="5">
        <f>F303*G303</f>
        <v>248.23499999999999</v>
      </c>
    </row>
    <row r="304" spans="1:62" ht="38.450000000000003" customHeight="1">
      <c r="C304" s="67" t="s">
        <v>672</v>
      </c>
      <c r="D304" s="167" t="s">
        <v>870</v>
      </c>
      <c r="E304" s="168"/>
      <c r="F304" s="168"/>
      <c r="G304" s="168"/>
      <c r="H304" s="168"/>
      <c r="I304" s="168"/>
      <c r="J304" s="168"/>
      <c r="K304" s="168"/>
      <c r="L304" s="168"/>
      <c r="M304" s="168"/>
    </row>
    <row r="305" spans="1:62" ht="38.450000000000003" customHeight="1">
      <c r="D305" s="167" t="s">
        <v>871</v>
      </c>
      <c r="E305" s="168"/>
      <c r="F305" s="168"/>
      <c r="G305" s="168"/>
      <c r="H305" s="168"/>
      <c r="I305" s="168"/>
      <c r="J305" s="168"/>
      <c r="K305" s="168"/>
      <c r="L305" s="168"/>
      <c r="M305" s="168"/>
    </row>
    <row r="306" spans="1:62" ht="38.450000000000003" customHeight="1">
      <c r="D306" s="167" t="s">
        <v>872</v>
      </c>
      <c r="E306" s="168"/>
      <c r="F306" s="168"/>
      <c r="G306" s="168"/>
      <c r="H306" s="168"/>
      <c r="I306" s="168"/>
      <c r="J306" s="168"/>
      <c r="K306" s="168"/>
      <c r="L306" s="168"/>
      <c r="M306" s="168"/>
    </row>
    <row r="307" spans="1:62">
      <c r="D307" s="167" t="s">
        <v>873</v>
      </c>
      <c r="E307" s="168"/>
      <c r="F307" s="168"/>
      <c r="G307" s="168"/>
      <c r="H307" s="168"/>
      <c r="I307" s="168"/>
      <c r="J307" s="168"/>
      <c r="K307" s="168"/>
      <c r="L307" s="168"/>
      <c r="M307" s="168"/>
    </row>
    <row r="308" spans="1:62">
      <c r="A308" s="1" t="s">
        <v>196</v>
      </c>
      <c r="B308" s="1" t="s">
        <v>659</v>
      </c>
      <c r="C308" s="1" t="s">
        <v>241</v>
      </c>
      <c r="D308" s="1" t="s">
        <v>431</v>
      </c>
      <c r="E308" s="1" t="s">
        <v>638</v>
      </c>
      <c r="F308" s="5">
        <f>'Rozpočet - vybrané sloupce'!AN245</f>
        <v>13.75</v>
      </c>
      <c r="G308" s="5">
        <f>'Rozpočet - vybrané sloupce'!AS245</f>
        <v>186.5</v>
      </c>
      <c r="H308" s="5">
        <f>F308*AO308</f>
        <v>0</v>
      </c>
      <c r="I308" s="5">
        <f>F308*AP308</f>
        <v>2564.375</v>
      </c>
      <c r="J308" s="5">
        <f>F308*G308</f>
        <v>2564.375</v>
      </c>
      <c r="K308" s="5">
        <v>0</v>
      </c>
      <c r="L308" s="5">
        <f>F308*K308</f>
        <v>0</v>
      </c>
      <c r="M308" s="38" t="s">
        <v>653</v>
      </c>
      <c r="Z308" s="22">
        <f>IF(AQ308="5",BJ308,0)</f>
        <v>0</v>
      </c>
      <c r="AB308" s="22">
        <f>IF(AQ308="1",BH308,0)</f>
        <v>0</v>
      </c>
      <c r="AC308" s="22">
        <f>IF(AQ308="1",BI308,0)</f>
        <v>2564.375</v>
      </c>
      <c r="AD308" s="22">
        <f>IF(AQ308="7",BH308,0)</f>
        <v>0</v>
      </c>
      <c r="AE308" s="22">
        <f>IF(AQ308="7",BI308,0)</f>
        <v>0</v>
      </c>
      <c r="AF308" s="22">
        <f>IF(AQ308="2",BH308,0)</f>
        <v>0</v>
      </c>
      <c r="AG308" s="22">
        <f>IF(AQ308="2",BI308,0)</f>
        <v>0</v>
      </c>
      <c r="AH308" s="22">
        <f>IF(AQ308="0",BJ308,0)</f>
        <v>0</v>
      </c>
      <c r="AI308" s="34" t="s">
        <v>659</v>
      </c>
      <c r="AJ308" s="5">
        <f>IF(AN308=0,J308,0)</f>
        <v>0</v>
      </c>
      <c r="AK308" s="5">
        <f>IF(AN308=15,J308,0)</f>
        <v>0</v>
      </c>
      <c r="AL308" s="5">
        <f>IF(AN308=21,J308,0)</f>
        <v>2564.375</v>
      </c>
      <c r="AN308" s="22">
        <v>21</v>
      </c>
      <c r="AO308" s="22">
        <f>G308*0</f>
        <v>0</v>
      </c>
      <c r="AP308" s="22">
        <f>G308*(1-0)</f>
        <v>186.5</v>
      </c>
      <c r="AQ308" s="38" t="s">
        <v>7</v>
      </c>
      <c r="AV308" s="22">
        <f>AW308+AX308</f>
        <v>2564.375</v>
      </c>
      <c r="AW308" s="22">
        <f>F308*AO308</f>
        <v>0</v>
      </c>
      <c r="AX308" s="22">
        <f>F308*AP308</f>
        <v>2564.375</v>
      </c>
      <c r="AY308" s="77" t="s">
        <v>894</v>
      </c>
      <c r="AZ308" s="77" t="s">
        <v>931</v>
      </c>
      <c r="BA308" s="34" t="s">
        <v>935</v>
      </c>
      <c r="BC308" s="22">
        <f>AW308+AX308</f>
        <v>2564.375</v>
      </c>
      <c r="BD308" s="22">
        <f>G308/(100-BE308)*100</f>
        <v>186.5</v>
      </c>
      <c r="BE308" s="22">
        <v>0</v>
      </c>
      <c r="BF308" s="22">
        <f>L308</f>
        <v>0</v>
      </c>
      <c r="BH308" s="5">
        <f>F308*AO308</f>
        <v>0</v>
      </c>
      <c r="BI308" s="5">
        <f>F308*AP308</f>
        <v>2564.375</v>
      </c>
      <c r="BJ308" s="5">
        <f>F308*G308</f>
        <v>2564.375</v>
      </c>
    </row>
    <row r="309" spans="1:62">
      <c r="A309" s="1" t="s">
        <v>197</v>
      </c>
      <c r="B309" s="1" t="s">
        <v>659</v>
      </c>
      <c r="C309" s="1" t="s">
        <v>242</v>
      </c>
      <c r="D309" s="1" t="s">
        <v>432</v>
      </c>
      <c r="E309" s="1" t="s">
        <v>638</v>
      </c>
      <c r="F309" s="5">
        <f>'Rozpočet - vybrané sloupce'!AN246</f>
        <v>13.75</v>
      </c>
      <c r="G309" s="5">
        <f>'Rozpočet - vybrané sloupce'!AS246</f>
        <v>37.29</v>
      </c>
      <c r="H309" s="5">
        <f>F309*AO309</f>
        <v>0</v>
      </c>
      <c r="I309" s="5">
        <f>F309*AP309</f>
        <v>512.73749999999995</v>
      </c>
      <c r="J309" s="5">
        <f>F309*G309</f>
        <v>512.73749999999995</v>
      </c>
      <c r="K309" s="5">
        <v>0</v>
      </c>
      <c r="L309" s="5">
        <f>F309*K309</f>
        <v>0</v>
      </c>
      <c r="M309" s="38" t="s">
        <v>653</v>
      </c>
      <c r="Z309" s="22">
        <f>IF(AQ309="5",BJ309,0)</f>
        <v>0</v>
      </c>
      <c r="AB309" s="22">
        <f>IF(AQ309="1",BH309,0)</f>
        <v>0</v>
      </c>
      <c r="AC309" s="22">
        <f>IF(AQ309="1",BI309,0)</f>
        <v>512.73749999999995</v>
      </c>
      <c r="AD309" s="22">
        <f>IF(AQ309="7",BH309,0)</f>
        <v>0</v>
      </c>
      <c r="AE309" s="22">
        <f>IF(AQ309="7",BI309,0)</f>
        <v>0</v>
      </c>
      <c r="AF309" s="22">
        <f>IF(AQ309="2",BH309,0)</f>
        <v>0</v>
      </c>
      <c r="AG309" s="22">
        <f>IF(AQ309="2",BI309,0)</f>
        <v>0</v>
      </c>
      <c r="AH309" s="22">
        <f>IF(AQ309="0",BJ309,0)</f>
        <v>0</v>
      </c>
      <c r="AI309" s="34" t="s">
        <v>659</v>
      </c>
      <c r="AJ309" s="5">
        <f>IF(AN309=0,J309,0)</f>
        <v>0</v>
      </c>
      <c r="AK309" s="5">
        <f>IF(AN309=15,J309,0)</f>
        <v>0</v>
      </c>
      <c r="AL309" s="5">
        <f>IF(AN309=21,J309,0)</f>
        <v>512.73749999999995</v>
      </c>
      <c r="AN309" s="22">
        <v>21</v>
      </c>
      <c r="AO309" s="22">
        <f>G309*0</f>
        <v>0</v>
      </c>
      <c r="AP309" s="22">
        <f>G309*(1-0)</f>
        <v>37.29</v>
      </c>
      <c r="AQ309" s="38" t="s">
        <v>7</v>
      </c>
      <c r="AV309" s="22">
        <f>AW309+AX309</f>
        <v>512.73749999999995</v>
      </c>
      <c r="AW309" s="22">
        <f>F309*AO309</f>
        <v>0</v>
      </c>
      <c r="AX309" s="22">
        <f>F309*AP309</f>
        <v>512.73749999999995</v>
      </c>
      <c r="AY309" s="77" t="s">
        <v>894</v>
      </c>
      <c r="AZ309" s="77" t="s">
        <v>931</v>
      </c>
      <c r="BA309" s="34" t="s">
        <v>935</v>
      </c>
      <c r="BC309" s="22">
        <f>AW309+AX309</f>
        <v>512.73749999999995</v>
      </c>
      <c r="BD309" s="22">
        <f>G309/(100-BE309)*100</f>
        <v>37.29</v>
      </c>
      <c r="BE309" s="22">
        <v>0</v>
      </c>
      <c r="BF309" s="22">
        <f>L309</f>
        <v>0</v>
      </c>
      <c r="BH309" s="5">
        <f>F309*AO309</f>
        <v>0</v>
      </c>
      <c r="BI309" s="5">
        <f>F309*AP309</f>
        <v>512.73749999999995</v>
      </c>
      <c r="BJ309" s="5">
        <f>F309*G309</f>
        <v>512.73749999999995</v>
      </c>
    </row>
    <row r="310" spans="1:62">
      <c r="C310" s="67" t="s">
        <v>672</v>
      </c>
      <c r="D310" s="167" t="s">
        <v>690</v>
      </c>
      <c r="E310" s="168"/>
      <c r="F310" s="168"/>
      <c r="G310" s="168"/>
      <c r="H310" s="168"/>
      <c r="I310" s="168"/>
      <c r="J310" s="168"/>
      <c r="K310" s="168"/>
      <c r="L310" s="168"/>
      <c r="M310" s="168"/>
    </row>
    <row r="311" spans="1:62">
      <c r="A311" s="59"/>
      <c r="B311" s="28" t="s">
        <v>659</v>
      </c>
      <c r="C311" s="28" t="s">
        <v>19</v>
      </c>
      <c r="D311" s="28" t="s">
        <v>433</v>
      </c>
      <c r="E311" s="59" t="s">
        <v>6</v>
      </c>
      <c r="F311" s="59" t="s">
        <v>6</v>
      </c>
      <c r="G311" s="59" t="s">
        <v>6</v>
      </c>
      <c r="H311" s="8">
        <f>SUM(H312:H312)</f>
        <v>0</v>
      </c>
      <c r="I311" s="8">
        <f>SUM(I312:I312)</f>
        <v>5215.0349999999999</v>
      </c>
      <c r="J311" s="8">
        <f>SUM(J312:J312)</f>
        <v>5215.0349999999999</v>
      </c>
      <c r="K311" s="34"/>
      <c r="L311" s="8">
        <f>SUM(L312:L312)</f>
        <v>0</v>
      </c>
      <c r="M311" s="34"/>
      <c r="AI311" s="34" t="s">
        <v>659</v>
      </c>
      <c r="AS311" s="8">
        <f>SUM(AJ312:AJ312)</f>
        <v>0</v>
      </c>
      <c r="AT311" s="8">
        <f>SUM(AK312:AK312)</f>
        <v>0</v>
      </c>
      <c r="AU311" s="8">
        <f>SUM(AL312:AL312)</f>
        <v>5215.0349999999999</v>
      </c>
    </row>
    <row r="312" spans="1:62">
      <c r="A312" s="1" t="s">
        <v>198</v>
      </c>
      <c r="B312" s="1" t="s">
        <v>659</v>
      </c>
      <c r="C312" s="1" t="s">
        <v>406</v>
      </c>
      <c r="D312" s="1" t="s">
        <v>624</v>
      </c>
      <c r="E312" s="1" t="s">
        <v>638</v>
      </c>
      <c r="F312" s="5">
        <f>'Rozpočet - vybrané sloupce'!AN248</f>
        <v>3.5</v>
      </c>
      <c r="G312" s="5">
        <f>'Rozpočet - vybrané sloupce'!AS248</f>
        <v>1490.01</v>
      </c>
      <c r="H312" s="5">
        <f>F312*AO312</f>
        <v>0</v>
      </c>
      <c r="I312" s="5">
        <f>F312*AP312</f>
        <v>5215.0349999999999</v>
      </c>
      <c r="J312" s="5">
        <f>F312*G312</f>
        <v>5215.0349999999999</v>
      </c>
      <c r="K312" s="5">
        <v>0</v>
      </c>
      <c r="L312" s="5">
        <f>F312*K312</f>
        <v>0</v>
      </c>
      <c r="M312" s="38" t="s">
        <v>653</v>
      </c>
      <c r="Z312" s="22">
        <f>IF(AQ312="5",BJ312,0)</f>
        <v>0</v>
      </c>
      <c r="AB312" s="22">
        <f>IF(AQ312="1",BH312,0)</f>
        <v>0</v>
      </c>
      <c r="AC312" s="22">
        <f>IF(AQ312="1",BI312,0)</f>
        <v>5215.0349999999999</v>
      </c>
      <c r="AD312" s="22">
        <f>IF(AQ312="7",BH312,0)</f>
        <v>0</v>
      </c>
      <c r="AE312" s="22">
        <f>IF(AQ312="7",BI312,0)</f>
        <v>0</v>
      </c>
      <c r="AF312" s="22">
        <f>IF(AQ312="2",BH312,0)</f>
        <v>0</v>
      </c>
      <c r="AG312" s="22">
        <f>IF(AQ312="2",BI312,0)</f>
        <v>0</v>
      </c>
      <c r="AH312" s="22">
        <f>IF(AQ312="0",BJ312,0)</f>
        <v>0</v>
      </c>
      <c r="AI312" s="34" t="s">
        <v>659</v>
      </c>
      <c r="AJ312" s="5">
        <f>IF(AN312=0,J312,0)</f>
        <v>0</v>
      </c>
      <c r="AK312" s="5">
        <f>IF(AN312=15,J312,0)</f>
        <v>0</v>
      </c>
      <c r="AL312" s="5">
        <f>IF(AN312=21,J312,0)</f>
        <v>5215.0349999999999</v>
      </c>
      <c r="AN312" s="22">
        <v>21</v>
      </c>
      <c r="AO312" s="22">
        <f>G312*0</f>
        <v>0</v>
      </c>
      <c r="AP312" s="22">
        <f>G312*(1-0)</f>
        <v>1490.01</v>
      </c>
      <c r="AQ312" s="38" t="s">
        <v>7</v>
      </c>
      <c r="AV312" s="22">
        <f>AW312+AX312</f>
        <v>5215.0349999999999</v>
      </c>
      <c r="AW312" s="22">
        <f>F312*AO312</f>
        <v>0</v>
      </c>
      <c r="AX312" s="22">
        <f>F312*AP312</f>
        <v>5215.0349999999999</v>
      </c>
      <c r="AY312" s="77" t="s">
        <v>895</v>
      </c>
      <c r="AZ312" s="77" t="s">
        <v>931</v>
      </c>
      <c r="BA312" s="34" t="s">
        <v>935</v>
      </c>
      <c r="BC312" s="22">
        <f>AW312+AX312</f>
        <v>5215.0349999999999</v>
      </c>
      <c r="BD312" s="22">
        <f>G312/(100-BE312)*100</f>
        <v>1490.01</v>
      </c>
      <c r="BE312" s="22">
        <v>0</v>
      </c>
      <c r="BF312" s="22">
        <f>L312</f>
        <v>0</v>
      </c>
      <c r="BH312" s="5">
        <f>F312*AO312</f>
        <v>0</v>
      </c>
      <c r="BI312" s="5">
        <f>F312*AP312</f>
        <v>5215.0349999999999</v>
      </c>
      <c r="BJ312" s="5">
        <f>F312*G312</f>
        <v>5215.0349999999999</v>
      </c>
    </row>
    <row r="313" spans="1:62">
      <c r="D313" s="3" t="s">
        <v>625</v>
      </c>
    </row>
    <row r="314" spans="1:62">
      <c r="C314" s="67" t="s">
        <v>672</v>
      </c>
      <c r="D314" s="167" t="s">
        <v>694</v>
      </c>
      <c r="E314" s="168"/>
      <c r="F314" s="168"/>
      <c r="G314" s="168"/>
      <c r="H314" s="168"/>
      <c r="I314" s="168"/>
      <c r="J314" s="168"/>
      <c r="K314" s="168"/>
      <c r="L314" s="168"/>
      <c r="M314" s="168"/>
    </row>
    <row r="315" spans="1:62">
      <c r="A315" s="59"/>
      <c r="B315" s="28" t="s">
        <v>659</v>
      </c>
      <c r="C315" s="28" t="s">
        <v>22</v>
      </c>
      <c r="D315" s="28" t="s">
        <v>436</v>
      </c>
      <c r="E315" s="59" t="s">
        <v>6</v>
      </c>
      <c r="F315" s="59" t="s">
        <v>6</v>
      </c>
      <c r="G315" s="59" t="s">
        <v>6</v>
      </c>
      <c r="H315" s="8">
        <f>SUM(H316:H317)</f>
        <v>0</v>
      </c>
      <c r="I315" s="8">
        <f>SUM(I316:I317)</f>
        <v>5896.08</v>
      </c>
      <c r="J315" s="8">
        <f>SUM(J316:J317)</f>
        <v>5896.08</v>
      </c>
      <c r="K315" s="34"/>
      <c r="L315" s="8">
        <f>SUM(L316:L317)</f>
        <v>0</v>
      </c>
      <c r="M315" s="34"/>
      <c r="AI315" s="34" t="s">
        <v>659</v>
      </c>
      <c r="AS315" s="8">
        <f>SUM(AJ316:AJ317)</f>
        <v>0</v>
      </c>
      <c r="AT315" s="8">
        <f>SUM(AK316:AK317)</f>
        <v>0</v>
      </c>
      <c r="AU315" s="8">
        <f>SUM(AL316:AL317)</f>
        <v>5896.08</v>
      </c>
    </row>
    <row r="316" spans="1:62">
      <c r="A316" s="1" t="s">
        <v>199</v>
      </c>
      <c r="B316" s="1" t="s">
        <v>659</v>
      </c>
      <c r="C316" s="1" t="s">
        <v>245</v>
      </c>
      <c r="D316" s="1" t="s">
        <v>437</v>
      </c>
      <c r="E316" s="1" t="s">
        <v>638</v>
      </c>
      <c r="F316" s="5">
        <f>'Rozpočet - vybrané sloupce'!AN251</f>
        <v>34.200000000000003</v>
      </c>
      <c r="G316" s="5">
        <f>'Rozpočet - vybrané sloupce'!AS251</f>
        <v>44.4</v>
      </c>
      <c r="H316" s="5">
        <f>F316*AO316</f>
        <v>0</v>
      </c>
      <c r="I316" s="5">
        <f>F316*AP316</f>
        <v>1518.48</v>
      </c>
      <c r="J316" s="5">
        <f>F316*G316</f>
        <v>1518.48</v>
      </c>
      <c r="K316" s="5">
        <v>0</v>
      </c>
      <c r="L316" s="5">
        <f>F316*K316</f>
        <v>0</v>
      </c>
      <c r="M316" s="38" t="s">
        <v>653</v>
      </c>
      <c r="Z316" s="22">
        <f>IF(AQ316="5",BJ316,0)</f>
        <v>0</v>
      </c>
      <c r="AB316" s="22">
        <f>IF(AQ316="1",BH316,0)</f>
        <v>0</v>
      </c>
      <c r="AC316" s="22">
        <f>IF(AQ316="1",BI316,0)</f>
        <v>1518.48</v>
      </c>
      <c r="AD316" s="22">
        <f>IF(AQ316="7",BH316,0)</f>
        <v>0</v>
      </c>
      <c r="AE316" s="22">
        <f>IF(AQ316="7",BI316,0)</f>
        <v>0</v>
      </c>
      <c r="AF316" s="22">
        <f>IF(AQ316="2",BH316,0)</f>
        <v>0</v>
      </c>
      <c r="AG316" s="22">
        <f>IF(AQ316="2",BI316,0)</f>
        <v>0</v>
      </c>
      <c r="AH316" s="22">
        <f>IF(AQ316="0",BJ316,0)</f>
        <v>0</v>
      </c>
      <c r="AI316" s="34" t="s">
        <v>659</v>
      </c>
      <c r="AJ316" s="5">
        <f>IF(AN316=0,J316,0)</f>
        <v>0</v>
      </c>
      <c r="AK316" s="5">
        <f>IF(AN316=15,J316,0)</f>
        <v>0</v>
      </c>
      <c r="AL316" s="5">
        <f>IF(AN316=21,J316,0)</f>
        <v>1518.48</v>
      </c>
      <c r="AN316" s="22">
        <v>21</v>
      </c>
      <c r="AO316" s="22">
        <f>G316*0</f>
        <v>0</v>
      </c>
      <c r="AP316" s="22">
        <f>G316*(1-0)</f>
        <v>44.4</v>
      </c>
      <c r="AQ316" s="38" t="s">
        <v>7</v>
      </c>
      <c r="AV316" s="22">
        <f>AW316+AX316</f>
        <v>1518.48</v>
      </c>
      <c r="AW316" s="22">
        <f>F316*AO316</f>
        <v>0</v>
      </c>
      <c r="AX316" s="22">
        <f>F316*AP316</f>
        <v>1518.48</v>
      </c>
      <c r="AY316" s="77" t="s">
        <v>896</v>
      </c>
      <c r="AZ316" s="77" t="s">
        <v>931</v>
      </c>
      <c r="BA316" s="34" t="s">
        <v>935</v>
      </c>
      <c r="BC316" s="22">
        <f>AW316+AX316</f>
        <v>1518.48</v>
      </c>
      <c r="BD316" s="22">
        <f>G316/(100-BE316)*100</f>
        <v>44.4</v>
      </c>
      <c r="BE316" s="22">
        <v>0</v>
      </c>
      <c r="BF316" s="22">
        <f>L316</f>
        <v>0</v>
      </c>
      <c r="BH316" s="5">
        <f>F316*AO316</f>
        <v>0</v>
      </c>
      <c r="BI316" s="5">
        <f>F316*AP316</f>
        <v>1518.48</v>
      </c>
      <c r="BJ316" s="5">
        <f>F316*G316</f>
        <v>1518.48</v>
      </c>
    </row>
    <row r="317" spans="1:62">
      <c r="A317" s="1" t="s">
        <v>200</v>
      </c>
      <c r="B317" s="1" t="s">
        <v>659</v>
      </c>
      <c r="C317" s="1" t="s">
        <v>246</v>
      </c>
      <c r="D317" s="1" t="s">
        <v>438</v>
      </c>
      <c r="E317" s="1" t="s">
        <v>638</v>
      </c>
      <c r="F317" s="5">
        <f>'Rozpočet - vybrané sloupce'!AN252</f>
        <v>17.100000000000001</v>
      </c>
      <c r="G317" s="5">
        <f>'Rozpočet - vybrané sloupce'!AS252</f>
        <v>256</v>
      </c>
      <c r="H317" s="5">
        <f>F317*AO317</f>
        <v>0</v>
      </c>
      <c r="I317" s="5">
        <f>F317*AP317</f>
        <v>4377.6000000000004</v>
      </c>
      <c r="J317" s="5">
        <f>F317*G317</f>
        <v>4377.6000000000004</v>
      </c>
      <c r="K317" s="5">
        <v>0</v>
      </c>
      <c r="L317" s="5">
        <f>F317*K317</f>
        <v>0</v>
      </c>
      <c r="M317" s="38" t="s">
        <v>653</v>
      </c>
      <c r="Z317" s="22">
        <f>IF(AQ317="5",BJ317,0)</f>
        <v>0</v>
      </c>
      <c r="AB317" s="22">
        <f>IF(AQ317="1",BH317,0)</f>
        <v>0</v>
      </c>
      <c r="AC317" s="22">
        <f>IF(AQ317="1",BI317,0)</f>
        <v>4377.6000000000004</v>
      </c>
      <c r="AD317" s="22">
        <f>IF(AQ317="7",BH317,0)</f>
        <v>0</v>
      </c>
      <c r="AE317" s="22">
        <f>IF(AQ317="7",BI317,0)</f>
        <v>0</v>
      </c>
      <c r="AF317" s="22">
        <f>IF(AQ317="2",BH317,0)</f>
        <v>0</v>
      </c>
      <c r="AG317" s="22">
        <f>IF(AQ317="2",BI317,0)</f>
        <v>0</v>
      </c>
      <c r="AH317" s="22">
        <f>IF(AQ317="0",BJ317,0)</f>
        <v>0</v>
      </c>
      <c r="AI317" s="34" t="s">
        <v>659</v>
      </c>
      <c r="AJ317" s="5">
        <f>IF(AN317=0,J317,0)</f>
        <v>0</v>
      </c>
      <c r="AK317" s="5">
        <f>IF(AN317=15,J317,0)</f>
        <v>0</v>
      </c>
      <c r="AL317" s="5">
        <f>IF(AN317=21,J317,0)</f>
        <v>4377.6000000000004</v>
      </c>
      <c r="AN317" s="22">
        <v>21</v>
      </c>
      <c r="AO317" s="22">
        <f>G317*0</f>
        <v>0</v>
      </c>
      <c r="AP317" s="22">
        <f>G317*(1-0)</f>
        <v>256</v>
      </c>
      <c r="AQ317" s="38" t="s">
        <v>7</v>
      </c>
      <c r="AV317" s="22">
        <f>AW317+AX317</f>
        <v>4377.6000000000004</v>
      </c>
      <c r="AW317" s="22">
        <f>F317*AO317</f>
        <v>0</v>
      </c>
      <c r="AX317" s="22">
        <f>F317*AP317</f>
        <v>4377.6000000000004</v>
      </c>
      <c r="AY317" s="77" t="s">
        <v>896</v>
      </c>
      <c r="AZ317" s="77" t="s">
        <v>931</v>
      </c>
      <c r="BA317" s="34" t="s">
        <v>935</v>
      </c>
      <c r="BC317" s="22">
        <f>AW317+AX317</f>
        <v>4377.6000000000004</v>
      </c>
      <c r="BD317" s="22">
        <f>G317/(100-BE317)*100</f>
        <v>256</v>
      </c>
      <c r="BE317" s="22">
        <v>0</v>
      </c>
      <c r="BF317" s="22">
        <f>L317</f>
        <v>0</v>
      </c>
      <c r="BH317" s="5">
        <f>F317*AO317</f>
        <v>0</v>
      </c>
      <c r="BI317" s="5">
        <f>F317*AP317</f>
        <v>4377.6000000000004</v>
      </c>
      <c r="BJ317" s="5">
        <f>F317*G317</f>
        <v>4377.6000000000004</v>
      </c>
    </row>
    <row r="318" spans="1:62">
      <c r="A318" s="59"/>
      <c r="B318" s="28" t="s">
        <v>659</v>
      </c>
      <c r="C318" s="28" t="s">
        <v>23</v>
      </c>
      <c r="D318" s="28" t="s">
        <v>443</v>
      </c>
      <c r="E318" s="59" t="s">
        <v>6</v>
      </c>
      <c r="F318" s="59" t="s">
        <v>6</v>
      </c>
      <c r="G318" s="59" t="s">
        <v>6</v>
      </c>
      <c r="H318" s="8">
        <f>SUM(H319:H321)</f>
        <v>652.79999999999995</v>
      </c>
      <c r="I318" s="8">
        <f>SUM(I319:I321)</f>
        <v>5634.12</v>
      </c>
      <c r="J318" s="8">
        <f>SUM(J319:J321)</f>
        <v>6286.92</v>
      </c>
      <c r="K318" s="34"/>
      <c r="L318" s="8">
        <f>SUM(L319:L321)</f>
        <v>1.92</v>
      </c>
      <c r="M318" s="34"/>
      <c r="AI318" s="34" t="s">
        <v>659</v>
      </c>
      <c r="AS318" s="8">
        <f>SUM(AJ319:AJ321)</f>
        <v>0</v>
      </c>
      <c r="AT318" s="8">
        <f>SUM(AK319:AK321)</f>
        <v>0</v>
      </c>
      <c r="AU318" s="8">
        <f>SUM(AL319:AL321)</f>
        <v>6286.92</v>
      </c>
    </row>
    <row r="319" spans="1:62">
      <c r="A319" s="1" t="s">
        <v>201</v>
      </c>
      <c r="B319" s="1" t="s">
        <v>659</v>
      </c>
      <c r="C319" s="1" t="s">
        <v>252</v>
      </c>
      <c r="D319" s="1" t="s">
        <v>445</v>
      </c>
      <c r="E319" s="1" t="s">
        <v>638</v>
      </c>
      <c r="F319" s="5">
        <f>'Rozpočet - vybrané sloupce'!AN254</f>
        <v>12</v>
      </c>
      <c r="G319" s="5">
        <f>'Rozpočet - vybrané sloupce'!AS254</f>
        <v>469.51</v>
      </c>
      <c r="H319" s="5">
        <f>F319*AO319</f>
        <v>0</v>
      </c>
      <c r="I319" s="5">
        <f>F319*AP319</f>
        <v>5634.12</v>
      </c>
      <c r="J319" s="5">
        <f>F319*G319</f>
        <v>5634.12</v>
      </c>
      <c r="K319" s="5">
        <v>0</v>
      </c>
      <c r="L319" s="5">
        <f>F319*K319</f>
        <v>0</v>
      </c>
      <c r="M319" s="38" t="s">
        <v>653</v>
      </c>
      <c r="Z319" s="22">
        <f>IF(AQ319="5",BJ319,0)</f>
        <v>0</v>
      </c>
      <c r="AB319" s="22">
        <f>IF(AQ319="1",BH319,0)</f>
        <v>0</v>
      </c>
      <c r="AC319" s="22">
        <f>IF(AQ319="1",BI319,0)</f>
        <v>5634.12</v>
      </c>
      <c r="AD319" s="22">
        <f>IF(AQ319="7",BH319,0)</f>
        <v>0</v>
      </c>
      <c r="AE319" s="22">
        <f>IF(AQ319="7",BI319,0)</f>
        <v>0</v>
      </c>
      <c r="AF319" s="22">
        <f>IF(AQ319="2",BH319,0)</f>
        <v>0</v>
      </c>
      <c r="AG319" s="22">
        <f>IF(AQ319="2",BI319,0)</f>
        <v>0</v>
      </c>
      <c r="AH319" s="22">
        <f>IF(AQ319="0",BJ319,0)</f>
        <v>0</v>
      </c>
      <c r="AI319" s="34" t="s">
        <v>659</v>
      </c>
      <c r="AJ319" s="5">
        <f>IF(AN319=0,J319,0)</f>
        <v>0</v>
      </c>
      <c r="AK319" s="5">
        <f>IF(AN319=15,J319,0)</f>
        <v>0</v>
      </c>
      <c r="AL319" s="5">
        <f>IF(AN319=21,J319,0)</f>
        <v>5634.12</v>
      </c>
      <c r="AN319" s="22">
        <v>21</v>
      </c>
      <c r="AO319" s="22">
        <f>G319*0</f>
        <v>0</v>
      </c>
      <c r="AP319" s="22">
        <f>G319*(1-0)</f>
        <v>469.51</v>
      </c>
      <c r="AQ319" s="38" t="s">
        <v>7</v>
      </c>
      <c r="AV319" s="22">
        <f>AW319+AX319</f>
        <v>5634.12</v>
      </c>
      <c r="AW319" s="22">
        <f>F319*AO319</f>
        <v>0</v>
      </c>
      <c r="AX319" s="22">
        <f>F319*AP319</f>
        <v>5634.12</v>
      </c>
      <c r="AY319" s="77" t="s">
        <v>897</v>
      </c>
      <c r="AZ319" s="77" t="s">
        <v>931</v>
      </c>
      <c r="BA319" s="34" t="s">
        <v>935</v>
      </c>
      <c r="BC319" s="22">
        <f>AW319+AX319</f>
        <v>5634.12</v>
      </c>
      <c r="BD319" s="22">
        <f>G319/(100-BE319)*100</f>
        <v>469.51</v>
      </c>
      <c r="BE319" s="22">
        <v>0</v>
      </c>
      <c r="BF319" s="22">
        <f>L319</f>
        <v>0</v>
      </c>
      <c r="BH319" s="5">
        <f>F319*AO319</f>
        <v>0</v>
      </c>
      <c r="BI319" s="5">
        <f>F319*AP319</f>
        <v>5634.12</v>
      </c>
      <c r="BJ319" s="5">
        <f>F319*G319</f>
        <v>5634.12</v>
      </c>
    </row>
    <row r="320" spans="1:62">
      <c r="C320" s="67" t="s">
        <v>672</v>
      </c>
      <c r="D320" s="167" t="s">
        <v>701</v>
      </c>
      <c r="E320" s="168"/>
      <c r="F320" s="168"/>
      <c r="G320" s="168"/>
      <c r="H320" s="168"/>
      <c r="I320" s="168"/>
      <c r="J320" s="168"/>
      <c r="K320" s="168"/>
      <c r="L320" s="168"/>
      <c r="M320" s="168"/>
    </row>
    <row r="321" spans="1:62">
      <c r="A321" s="2" t="s">
        <v>202</v>
      </c>
      <c r="B321" s="2" t="s">
        <v>659</v>
      </c>
      <c r="C321" s="2" t="s">
        <v>254</v>
      </c>
      <c r="D321" s="2" t="s">
        <v>447</v>
      </c>
      <c r="E321" s="2" t="s">
        <v>639</v>
      </c>
      <c r="F321" s="6">
        <f>'Rozpočet - vybrané sloupce'!AN255</f>
        <v>1.92</v>
      </c>
      <c r="G321" s="6">
        <f>'Rozpočet - vybrané sloupce'!AS255</f>
        <v>340</v>
      </c>
      <c r="H321" s="6">
        <f>F321*AO321</f>
        <v>652.79999999999995</v>
      </c>
      <c r="I321" s="6">
        <f>F321*AP321</f>
        <v>0</v>
      </c>
      <c r="J321" s="6">
        <f>F321*G321</f>
        <v>652.79999999999995</v>
      </c>
      <c r="K321" s="6">
        <v>1</v>
      </c>
      <c r="L321" s="6">
        <f>F321*K321</f>
        <v>1.92</v>
      </c>
      <c r="M321" s="39" t="s">
        <v>653</v>
      </c>
      <c r="Z321" s="22">
        <f>IF(AQ321="5",BJ321,0)</f>
        <v>0</v>
      </c>
      <c r="AB321" s="22">
        <f>IF(AQ321="1",BH321,0)</f>
        <v>652.79999999999995</v>
      </c>
      <c r="AC321" s="22">
        <f>IF(AQ321="1",BI321,0)</f>
        <v>0</v>
      </c>
      <c r="AD321" s="22">
        <f>IF(AQ321="7",BH321,0)</f>
        <v>0</v>
      </c>
      <c r="AE321" s="22">
        <f>IF(AQ321="7",BI321,0)</f>
        <v>0</v>
      </c>
      <c r="AF321" s="22">
        <f>IF(AQ321="2",BH321,0)</f>
        <v>0</v>
      </c>
      <c r="AG321" s="22">
        <f>IF(AQ321="2",BI321,0)</f>
        <v>0</v>
      </c>
      <c r="AH321" s="22">
        <f>IF(AQ321="0",BJ321,0)</f>
        <v>0</v>
      </c>
      <c r="AI321" s="34" t="s">
        <v>659</v>
      </c>
      <c r="AJ321" s="6">
        <f>IF(AN321=0,J321,0)</f>
        <v>0</v>
      </c>
      <c r="AK321" s="6">
        <f>IF(AN321=15,J321,0)</f>
        <v>0</v>
      </c>
      <c r="AL321" s="6">
        <f>IF(AN321=21,J321,0)</f>
        <v>652.79999999999995</v>
      </c>
      <c r="AN321" s="22">
        <v>21</v>
      </c>
      <c r="AO321" s="22">
        <f>G321*1</f>
        <v>340</v>
      </c>
      <c r="AP321" s="22">
        <f>G321*(1-1)</f>
        <v>0</v>
      </c>
      <c r="AQ321" s="39" t="s">
        <v>7</v>
      </c>
      <c r="AV321" s="22">
        <f>AW321+AX321</f>
        <v>652.79999999999995</v>
      </c>
      <c r="AW321" s="22">
        <f>F321*AO321</f>
        <v>652.79999999999995</v>
      </c>
      <c r="AX321" s="22">
        <f>F321*AP321</f>
        <v>0</v>
      </c>
      <c r="AY321" s="77" t="s">
        <v>897</v>
      </c>
      <c r="AZ321" s="77" t="s">
        <v>931</v>
      </c>
      <c r="BA321" s="34" t="s">
        <v>935</v>
      </c>
      <c r="BC321" s="22">
        <f>AW321+AX321</f>
        <v>652.79999999999995</v>
      </c>
      <c r="BD321" s="22">
        <f>G321/(100-BE321)*100</f>
        <v>340</v>
      </c>
      <c r="BE321" s="22">
        <v>0</v>
      </c>
      <c r="BF321" s="22">
        <f>L321</f>
        <v>1.92</v>
      </c>
      <c r="BH321" s="6">
        <f>F321*AO321</f>
        <v>652.79999999999995</v>
      </c>
      <c r="BI321" s="6">
        <f>F321*AP321</f>
        <v>0</v>
      </c>
      <c r="BJ321" s="6">
        <f>F321*G321</f>
        <v>652.79999999999995</v>
      </c>
    </row>
    <row r="322" spans="1:62">
      <c r="A322" s="59"/>
      <c r="B322" s="28" t="s">
        <v>659</v>
      </c>
      <c r="C322" s="28" t="s">
        <v>24</v>
      </c>
      <c r="D322" s="28" t="s">
        <v>450</v>
      </c>
      <c r="E322" s="59" t="s">
        <v>6</v>
      </c>
      <c r="F322" s="59" t="s">
        <v>6</v>
      </c>
      <c r="G322" s="59" t="s">
        <v>6</v>
      </c>
      <c r="H322" s="8">
        <f>SUM(H323:H333)</f>
        <v>508.29600000000005</v>
      </c>
      <c r="I322" s="8">
        <f>SUM(I323:I333)</f>
        <v>3767.6</v>
      </c>
      <c r="J322" s="8">
        <f>SUM(J323:J333)</f>
        <v>4275.8959999999997</v>
      </c>
      <c r="K322" s="34"/>
      <c r="L322" s="8">
        <f>SUM(L323:L333)</f>
        <v>0.8365999999999999</v>
      </c>
      <c r="M322" s="34"/>
      <c r="AI322" s="34" t="s">
        <v>659</v>
      </c>
      <c r="AS322" s="8">
        <f>SUM(AJ323:AJ333)</f>
        <v>0</v>
      </c>
      <c r="AT322" s="8">
        <f>SUM(AK323:AK333)</f>
        <v>0</v>
      </c>
      <c r="AU322" s="8">
        <f>SUM(AL323:AL333)</f>
        <v>4275.8959999999997</v>
      </c>
    </row>
    <row r="323" spans="1:62">
      <c r="A323" s="1" t="s">
        <v>203</v>
      </c>
      <c r="B323" s="1" t="s">
        <v>659</v>
      </c>
      <c r="C323" s="1" t="s">
        <v>262</v>
      </c>
      <c r="D323" s="1" t="s">
        <v>456</v>
      </c>
      <c r="E323" s="1" t="s">
        <v>636</v>
      </c>
      <c r="F323" s="5">
        <f>'Rozpočet - vybrané sloupce'!AN257</f>
        <v>40</v>
      </c>
      <c r="G323" s="5">
        <f>'Rozpočet - vybrané sloupce'!AS257</f>
        <v>63.3</v>
      </c>
      <c r="H323" s="5">
        <f>F323*AO323</f>
        <v>0</v>
      </c>
      <c r="I323" s="5">
        <f>F323*AP323</f>
        <v>2532</v>
      </c>
      <c r="J323" s="5">
        <f>F323*G323</f>
        <v>2532</v>
      </c>
      <c r="K323" s="5">
        <v>0</v>
      </c>
      <c r="L323" s="5">
        <f>F323*K323</f>
        <v>0</v>
      </c>
      <c r="M323" s="38" t="s">
        <v>653</v>
      </c>
      <c r="Z323" s="22">
        <f>IF(AQ323="5",BJ323,0)</f>
        <v>0</v>
      </c>
      <c r="AB323" s="22">
        <f>IF(AQ323="1",BH323,0)</f>
        <v>0</v>
      </c>
      <c r="AC323" s="22">
        <f>IF(AQ323="1",BI323,0)</f>
        <v>2532</v>
      </c>
      <c r="AD323" s="22">
        <f>IF(AQ323="7",BH323,0)</f>
        <v>0</v>
      </c>
      <c r="AE323" s="22">
        <f>IF(AQ323="7",BI323,0)</f>
        <v>0</v>
      </c>
      <c r="AF323" s="22">
        <f>IF(AQ323="2",BH323,0)</f>
        <v>0</v>
      </c>
      <c r="AG323" s="22">
        <f>IF(AQ323="2",BI323,0)</f>
        <v>0</v>
      </c>
      <c r="AH323" s="22">
        <f>IF(AQ323="0",BJ323,0)</f>
        <v>0</v>
      </c>
      <c r="AI323" s="34" t="s">
        <v>659</v>
      </c>
      <c r="AJ323" s="5">
        <f>IF(AN323=0,J323,0)</f>
        <v>0</v>
      </c>
      <c r="AK323" s="5">
        <f>IF(AN323=15,J323,0)</f>
        <v>0</v>
      </c>
      <c r="AL323" s="5">
        <f>IF(AN323=21,J323,0)</f>
        <v>2532</v>
      </c>
      <c r="AN323" s="22">
        <v>21</v>
      </c>
      <c r="AO323" s="22">
        <f>G323*0</f>
        <v>0</v>
      </c>
      <c r="AP323" s="22">
        <f>G323*(1-0)</f>
        <v>63.3</v>
      </c>
      <c r="AQ323" s="38" t="s">
        <v>7</v>
      </c>
      <c r="AV323" s="22">
        <f>AW323+AX323</f>
        <v>2532</v>
      </c>
      <c r="AW323" s="22">
        <f>F323*AO323</f>
        <v>0</v>
      </c>
      <c r="AX323" s="22">
        <f>F323*AP323</f>
        <v>2532</v>
      </c>
      <c r="AY323" s="77" t="s">
        <v>899</v>
      </c>
      <c r="AZ323" s="77" t="s">
        <v>931</v>
      </c>
      <c r="BA323" s="34" t="s">
        <v>935</v>
      </c>
      <c r="BC323" s="22">
        <f>AW323+AX323</f>
        <v>2532</v>
      </c>
      <c r="BD323" s="22">
        <f>G323/(100-BE323)*100</f>
        <v>63.3</v>
      </c>
      <c r="BE323" s="22">
        <v>0</v>
      </c>
      <c r="BF323" s="22">
        <f>L323</f>
        <v>0</v>
      </c>
      <c r="BH323" s="5">
        <f>F323*AO323</f>
        <v>0</v>
      </c>
      <c r="BI323" s="5">
        <f>F323*AP323</f>
        <v>2532</v>
      </c>
      <c r="BJ323" s="5">
        <f>F323*G323</f>
        <v>2532</v>
      </c>
    </row>
    <row r="324" spans="1:62">
      <c r="C324" s="67" t="s">
        <v>672</v>
      </c>
      <c r="D324" s="167" t="s">
        <v>727</v>
      </c>
      <c r="E324" s="168"/>
      <c r="F324" s="168"/>
      <c r="G324" s="168"/>
      <c r="H324" s="168"/>
      <c r="I324" s="168"/>
      <c r="J324" s="168"/>
      <c r="K324" s="168"/>
      <c r="L324" s="168"/>
      <c r="M324" s="168"/>
    </row>
    <row r="325" spans="1:62">
      <c r="A325" s="2" t="s">
        <v>204</v>
      </c>
      <c r="B325" s="2" t="s">
        <v>659</v>
      </c>
      <c r="C325" s="2" t="s">
        <v>263</v>
      </c>
      <c r="D325" s="2" t="s">
        <v>457</v>
      </c>
      <c r="E325" s="2" t="s">
        <v>638</v>
      </c>
      <c r="F325" s="6">
        <f>'Rozpočet - vybrané sloupce'!AN258</f>
        <v>0.5</v>
      </c>
      <c r="G325" s="6">
        <f>'Rozpočet - vybrané sloupce'!AS258</f>
        <v>418</v>
      </c>
      <c r="H325" s="6">
        <f>F325*AO325</f>
        <v>209</v>
      </c>
      <c r="I325" s="6">
        <f>F325*AP325</f>
        <v>0</v>
      </c>
      <c r="J325" s="6">
        <f>F325*G325</f>
        <v>209</v>
      </c>
      <c r="K325" s="6">
        <v>1.67</v>
      </c>
      <c r="L325" s="6">
        <f>F325*K325</f>
        <v>0.83499999999999996</v>
      </c>
      <c r="M325" s="39" t="s">
        <v>653</v>
      </c>
      <c r="Z325" s="22">
        <f>IF(AQ325="5",BJ325,0)</f>
        <v>0</v>
      </c>
      <c r="AB325" s="22">
        <f>IF(AQ325="1",BH325,0)</f>
        <v>209</v>
      </c>
      <c r="AC325" s="22">
        <f>IF(AQ325="1",BI325,0)</f>
        <v>0</v>
      </c>
      <c r="AD325" s="22">
        <f>IF(AQ325="7",BH325,0)</f>
        <v>0</v>
      </c>
      <c r="AE325" s="22">
        <f>IF(AQ325="7",BI325,0)</f>
        <v>0</v>
      </c>
      <c r="AF325" s="22">
        <f>IF(AQ325="2",BH325,0)</f>
        <v>0</v>
      </c>
      <c r="AG325" s="22">
        <f>IF(AQ325="2",BI325,0)</f>
        <v>0</v>
      </c>
      <c r="AH325" s="22">
        <f>IF(AQ325="0",BJ325,0)</f>
        <v>0</v>
      </c>
      <c r="AI325" s="34" t="s">
        <v>659</v>
      </c>
      <c r="AJ325" s="6">
        <f>IF(AN325=0,J325,0)</f>
        <v>0</v>
      </c>
      <c r="AK325" s="6">
        <f>IF(AN325=15,J325,0)</f>
        <v>0</v>
      </c>
      <c r="AL325" s="6">
        <f>IF(AN325=21,J325,0)</f>
        <v>209</v>
      </c>
      <c r="AN325" s="22">
        <v>21</v>
      </c>
      <c r="AO325" s="22">
        <f>G325*1</f>
        <v>418</v>
      </c>
      <c r="AP325" s="22">
        <f>G325*(1-1)</f>
        <v>0</v>
      </c>
      <c r="AQ325" s="39" t="s">
        <v>7</v>
      </c>
      <c r="AV325" s="22">
        <f>AW325+AX325</f>
        <v>209</v>
      </c>
      <c r="AW325" s="22">
        <f>F325*AO325</f>
        <v>209</v>
      </c>
      <c r="AX325" s="22">
        <f>F325*AP325</f>
        <v>0</v>
      </c>
      <c r="AY325" s="77" t="s">
        <v>899</v>
      </c>
      <c r="AZ325" s="77" t="s">
        <v>931</v>
      </c>
      <c r="BA325" s="34" t="s">
        <v>935</v>
      </c>
      <c r="BC325" s="22">
        <f>AW325+AX325</f>
        <v>209</v>
      </c>
      <c r="BD325" s="22">
        <f>G325/(100-BE325)*100</f>
        <v>418</v>
      </c>
      <c r="BE325" s="22">
        <v>0</v>
      </c>
      <c r="BF325" s="22">
        <f>L325</f>
        <v>0.83499999999999996</v>
      </c>
      <c r="BH325" s="6">
        <f>F325*AO325</f>
        <v>209</v>
      </c>
      <c r="BI325" s="6">
        <f>F325*AP325</f>
        <v>0</v>
      </c>
      <c r="BJ325" s="6">
        <f>F325*G325</f>
        <v>209</v>
      </c>
    </row>
    <row r="326" spans="1:62" ht="25.7" customHeight="1">
      <c r="C326" s="67" t="s">
        <v>672</v>
      </c>
      <c r="D326" s="167" t="s">
        <v>729</v>
      </c>
      <c r="E326" s="168"/>
      <c r="F326" s="168"/>
      <c r="G326" s="168"/>
      <c r="H326" s="168"/>
      <c r="I326" s="168"/>
      <c r="J326" s="168"/>
      <c r="K326" s="168"/>
      <c r="L326" s="168"/>
      <c r="M326" s="168"/>
    </row>
    <row r="327" spans="1:62">
      <c r="A327" s="1" t="s">
        <v>205</v>
      </c>
      <c r="B327" s="1" t="s">
        <v>659</v>
      </c>
      <c r="C327" s="1" t="s">
        <v>257</v>
      </c>
      <c r="D327" s="1" t="s">
        <v>451</v>
      </c>
      <c r="E327" s="1" t="s">
        <v>636</v>
      </c>
      <c r="F327" s="5">
        <f>'Rozpočet - vybrané sloupce'!AN259</f>
        <v>40</v>
      </c>
      <c r="G327" s="5">
        <f>'Rozpočet - vybrané sloupce'!AS259</f>
        <v>23.2</v>
      </c>
      <c r="H327" s="5">
        <f>F327*AO327</f>
        <v>65.599999999999994</v>
      </c>
      <c r="I327" s="5">
        <f>F327*AP327</f>
        <v>862.4</v>
      </c>
      <c r="J327" s="5">
        <f>F327*G327</f>
        <v>928</v>
      </c>
      <c r="K327" s="5">
        <v>0</v>
      </c>
      <c r="L327" s="5">
        <f>F327*K327</f>
        <v>0</v>
      </c>
      <c r="M327" s="38" t="s">
        <v>653</v>
      </c>
      <c r="Z327" s="22">
        <f>IF(AQ327="5",BJ327,0)</f>
        <v>0</v>
      </c>
      <c r="AB327" s="22">
        <f>IF(AQ327="1",BH327,0)</f>
        <v>65.599999999999994</v>
      </c>
      <c r="AC327" s="22">
        <f>IF(AQ327="1",BI327,0)</f>
        <v>862.4</v>
      </c>
      <c r="AD327" s="22">
        <f>IF(AQ327="7",BH327,0)</f>
        <v>0</v>
      </c>
      <c r="AE327" s="22">
        <f>IF(AQ327="7",BI327,0)</f>
        <v>0</v>
      </c>
      <c r="AF327" s="22">
        <f>IF(AQ327="2",BH327,0)</f>
        <v>0</v>
      </c>
      <c r="AG327" s="22">
        <f>IF(AQ327="2",BI327,0)</f>
        <v>0</v>
      </c>
      <c r="AH327" s="22">
        <f>IF(AQ327="0",BJ327,0)</f>
        <v>0</v>
      </c>
      <c r="AI327" s="34" t="s">
        <v>659</v>
      </c>
      <c r="AJ327" s="5">
        <f>IF(AN327=0,J327,0)</f>
        <v>0</v>
      </c>
      <c r="AK327" s="5">
        <f>IF(AN327=15,J327,0)</f>
        <v>0</v>
      </c>
      <c r="AL327" s="5">
        <f>IF(AN327=21,J327,0)</f>
        <v>928</v>
      </c>
      <c r="AN327" s="22">
        <v>21</v>
      </c>
      <c r="AO327" s="22">
        <f>G327*0.0706896551724138</f>
        <v>1.64</v>
      </c>
      <c r="AP327" s="22">
        <f>G327*(1-0.0706896551724138)</f>
        <v>21.56</v>
      </c>
      <c r="AQ327" s="38" t="s">
        <v>7</v>
      </c>
      <c r="AV327" s="22">
        <f>AW327+AX327</f>
        <v>928</v>
      </c>
      <c r="AW327" s="22">
        <f>F327*AO327</f>
        <v>65.599999999999994</v>
      </c>
      <c r="AX327" s="22">
        <f>F327*AP327</f>
        <v>862.4</v>
      </c>
      <c r="AY327" s="77" t="s">
        <v>899</v>
      </c>
      <c r="AZ327" s="77" t="s">
        <v>931</v>
      </c>
      <c r="BA327" s="34" t="s">
        <v>935</v>
      </c>
      <c r="BC327" s="22">
        <f>AW327+AX327</f>
        <v>928</v>
      </c>
      <c r="BD327" s="22">
        <f>G327/(100-BE327)*100</f>
        <v>23.2</v>
      </c>
      <c r="BE327" s="22">
        <v>0</v>
      </c>
      <c r="BF327" s="22">
        <f>L327</f>
        <v>0</v>
      </c>
      <c r="BH327" s="5">
        <f>F327*AO327</f>
        <v>65.599999999999994</v>
      </c>
      <c r="BI327" s="5">
        <f>F327*AP327</f>
        <v>862.4</v>
      </c>
      <c r="BJ327" s="5">
        <f>F327*G327</f>
        <v>928</v>
      </c>
    </row>
    <row r="328" spans="1:62">
      <c r="C328" s="67" t="s">
        <v>672</v>
      </c>
      <c r="D328" s="167" t="s">
        <v>711</v>
      </c>
      <c r="E328" s="168"/>
      <c r="F328" s="168"/>
      <c r="G328" s="168"/>
      <c r="H328" s="168"/>
      <c r="I328" s="168"/>
      <c r="J328" s="168"/>
      <c r="K328" s="168"/>
      <c r="L328" s="168"/>
      <c r="M328" s="168"/>
    </row>
    <row r="329" spans="1:62">
      <c r="A329" s="1" t="s">
        <v>206</v>
      </c>
      <c r="B329" s="1" t="s">
        <v>659</v>
      </c>
      <c r="C329" s="1" t="s">
        <v>258</v>
      </c>
      <c r="D329" s="1" t="s">
        <v>452</v>
      </c>
      <c r="E329" s="1" t="s">
        <v>636</v>
      </c>
      <c r="F329" s="5">
        <f>'Rozpočet - vybrané sloupce'!AN260</f>
        <v>40</v>
      </c>
      <c r="G329" s="5">
        <f>'Rozpočet - vybrané sloupce'!AS260</f>
        <v>4.51</v>
      </c>
      <c r="H329" s="5">
        <f>F329*AO329</f>
        <v>1.2000000000000002</v>
      </c>
      <c r="I329" s="5">
        <f>F329*AP329</f>
        <v>179.2</v>
      </c>
      <c r="J329" s="5">
        <f>F329*G329</f>
        <v>180.39999999999998</v>
      </c>
      <c r="K329" s="5">
        <v>0</v>
      </c>
      <c r="L329" s="5">
        <f>F329*K329</f>
        <v>0</v>
      </c>
      <c r="M329" s="38" t="s">
        <v>653</v>
      </c>
      <c r="Z329" s="22">
        <f>IF(AQ329="5",BJ329,0)</f>
        <v>0</v>
      </c>
      <c r="AB329" s="22">
        <f>IF(AQ329="1",BH329,0)</f>
        <v>1.2000000000000002</v>
      </c>
      <c r="AC329" s="22">
        <f>IF(AQ329="1",BI329,0)</f>
        <v>179.2</v>
      </c>
      <c r="AD329" s="22">
        <f>IF(AQ329="7",BH329,0)</f>
        <v>0</v>
      </c>
      <c r="AE329" s="22">
        <f>IF(AQ329="7",BI329,0)</f>
        <v>0</v>
      </c>
      <c r="AF329" s="22">
        <f>IF(AQ329="2",BH329,0)</f>
        <v>0</v>
      </c>
      <c r="AG329" s="22">
        <f>IF(AQ329="2",BI329,0)</f>
        <v>0</v>
      </c>
      <c r="AH329" s="22">
        <f>IF(AQ329="0",BJ329,0)</f>
        <v>0</v>
      </c>
      <c r="AI329" s="34" t="s">
        <v>659</v>
      </c>
      <c r="AJ329" s="5">
        <f>IF(AN329=0,J329,0)</f>
        <v>0</v>
      </c>
      <c r="AK329" s="5">
        <f>IF(AN329=15,J329,0)</f>
        <v>0</v>
      </c>
      <c r="AL329" s="5">
        <f>IF(AN329=21,J329,0)</f>
        <v>180.39999999999998</v>
      </c>
      <c r="AN329" s="22">
        <v>21</v>
      </c>
      <c r="AO329" s="22">
        <f>G329*0.00665188470066519</f>
        <v>3.0000000000000006E-2</v>
      </c>
      <c r="AP329" s="22">
        <f>G329*(1-0.00665188470066519)</f>
        <v>4.4799999999999995</v>
      </c>
      <c r="AQ329" s="38" t="s">
        <v>7</v>
      </c>
      <c r="AV329" s="22">
        <f>AW329+AX329</f>
        <v>180.39999999999998</v>
      </c>
      <c r="AW329" s="22">
        <f>F329*AO329</f>
        <v>1.2000000000000002</v>
      </c>
      <c r="AX329" s="22">
        <f>F329*AP329</f>
        <v>179.2</v>
      </c>
      <c r="AY329" s="77" t="s">
        <v>899</v>
      </c>
      <c r="AZ329" s="77" t="s">
        <v>931</v>
      </c>
      <c r="BA329" s="34" t="s">
        <v>935</v>
      </c>
      <c r="BC329" s="22">
        <f>AW329+AX329</f>
        <v>180.39999999999998</v>
      </c>
      <c r="BD329" s="22">
        <f>G329/(100-BE329)*100</f>
        <v>4.51</v>
      </c>
      <c r="BE329" s="22">
        <v>0</v>
      </c>
      <c r="BF329" s="22">
        <f>L329</f>
        <v>0</v>
      </c>
      <c r="BH329" s="5">
        <f>F329*AO329</f>
        <v>1.2000000000000002</v>
      </c>
      <c r="BI329" s="5">
        <f>F329*AP329</f>
        <v>179.2</v>
      </c>
      <c r="BJ329" s="5">
        <f>F329*G329</f>
        <v>180.39999999999998</v>
      </c>
    </row>
    <row r="330" spans="1:62">
      <c r="A330" s="1" t="s">
        <v>207</v>
      </c>
      <c r="B330" s="1" t="s">
        <v>659</v>
      </c>
      <c r="C330" s="1" t="s">
        <v>259</v>
      </c>
      <c r="D330" s="1" t="s">
        <v>453</v>
      </c>
      <c r="E330" s="1" t="s">
        <v>636</v>
      </c>
      <c r="F330" s="5">
        <f>'Rozpočet - vybrané sloupce'!AN261</f>
        <v>40</v>
      </c>
      <c r="G330" s="5">
        <f>'Rozpočet - vybrané sloupce'!AS261</f>
        <v>4.8499999999999996</v>
      </c>
      <c r="H330" s="5">
        <f>F330*AO330</f>
        <v>0</v>
      </c>
      <c r="I330" s="5">
        <f>F330*AP330</f>
        <v>194</v>
      </c>
      <c r="J330" s="5">
        <f>F330*G330</f>
        <v>194</v>
      </c>
      <c r="K330" s="5">
        <v>0</v>
      </c>
      <c r="L330" s="5">
        <f>F330*K330</f>
        <v>0</v>
      </c>
      <c r="M330" s="38" t="s">
        <v>653</v>
      </c>
      <c r="Z330" s="22">
        <f>IF(AQ330="5",BJ330,0)</f>
        <v>0</v>
      </c>
      <c r="AB330" s="22">
        <f>IF(AQ330="1",BH330,0)</f>
        <v>0</v>
      </c>
      <c r="AC330" s="22">
        <f>IF(AQ330="1",BI330,0)</f>
        <v>194</v>
      </c>
      <c r="AD330" s="22">
        <f>IF(AQ330="7",BH330,0)</f>
        <v>0</v>
      </c>
      <c r="AE330" s="22">
        <f>IF(AQ330="7",BI330,0)</f>
        <v>0</v>
      </c>
      <c r="AF330" s="22">
        <f>IF(AQ330="2",BH330,0)</f>
        <v>0</v>
      </c>
      <c r="AG330" s="22">
        <f>IF(AQ330="2",BI330,0)</f>
        <v>0</v>
      </c>
      <c r="AH330" s="22">
        <f>IF(AQ330="0",BJ330,0)</f>
        <v>0</v>
      </c>
      <c r="AI330" s="34" t="s">
        <v>659</v>
      </c>
      <c r="AJ330" s="5">
        <f>IF(AN330=0,J330,0)</f>
        <v>0</v>
      </c>
      <c r="AK330" s="5">
        <f>IF(AN330=15,J330,0)</f>
        <v>0</v>
      </c>
      <c r="AL330" s="5">
        <f>IF(AN330=21,J330,0)</f>
        <v>194</v>
      </c>
      <c r="AN330" s="22">
        <v>21</v>
      </c>
      <c r="AO330" s="22">
        <f>G330*0</f>
        <v>0</v>
      </c>
      <c r="AP330" s="22">
        <f>G330*(1-0)</f>
        <v>4.8499999999999996</v>
      </c>
      <c r="AQ330" s="38" t="s">
        <v>7</v>
      </c>
      <c r="AV330" s="22">
        <f>AW330+AX330</f>
        <v>194</v>
      </c>
      <c r="AW330" s="22">
        <f>F330*AO330</f>
        <v>0</v>
      </c>
      <c r="AX330" s="22">
        <f>F330*AP330</f>
        <v>194</v>
      </c>
      <c r="AY330" s="77" t="s">
        <v>899</v>
      </c>
      <c r="AZ330" s="77" t="s">
        <v>931</v>
      </c>
      <c r="BA330" s="34" t="s">
        <v>935</v>
      </c>
      <c r="BC330" s="22">
        <f>AW330+AX330</f>
        <v>194</v>
      </c>
      <c r="BD330" s="22">
        <f>G330/(100-BE330)*100</f>
        <v>4.8499999999999996</v>
      </c>
      <c r="BE330" s="22">
        <v>0</v>
      </c>
      <c r="BF330" s="22">
        <f>L330</f>
        <v>0</v>
      </c>
      <c r="BH330" s="5">
        <f>F330*AO330</f>
        <v>0</v>
      </c>
      <c r="BI330" s="5">
        <f>F330*AP330</f>
        <v>194</v>
      </c>
      <c r="BJ330" s="5">
        <f>F330*G330</f>
        <v>194</v>
      </c>
    </row>
    <row r="331" spans="1:62">
      <c r="A331" s="2" t="s">
        <v>208</v>
      </c>
      <c r="B331" s="2" t="s">
        <v>659</v>
      </c>
      <c r="C331" s="2" t="s">
        <v>260</v>
      </c>
      <c r="D331" s="2" t="s">
        <v>454</v>
      </c>
      <c r="E331" s="2" t="s">
        <v>640</v>
      </c>
      <c r="F331" s="6">
        <f>'Rozpočet - vybrané sloupce'!AN262</f>
        <v>1.2</v>
      </c>
      <c r="G331" s="6">
        <f>'Rozpočet - vybrané sloupce'!AS262</f>
        <v>105</v>
      </c>
      <c r="H331" s="6">
        <f>F331*AO331</f>
        <v>126</v>
      </c>
      <c r="I331" s="6">
        <f>F331*AP331</f>
        <v>0</v>
      </c>
      <c r="J331" s="6">
        <f>F331*G331</f>
        <v>126</v>
      </c>
      <c r="K331" s="6">
        <v>1E-3</v>
      </c>
      <c r="L331" s="6">
        <f>F331*K331</f>
        <v>1.1999999999999999E-3</v>
      </c>
      <c r="M331" s="39" t="s">
        <v>653</v>
      </c>
      <c r="Z331" s="22">
        <f>IF(AQ331="5",BJ331,0)</f>
        <v>0</v>
      </c>
      <c r="AB331" s="22">
        <f>IF(AQ331="1",BH331,0)</f>
        <v>126</v>
      </c>
      <c r="AC331" s="22">
        <f>IF(AQ331="1",BI331,0)</f>
        <v>0</v>
      </c>
      <c r="AD331" s="22">
        <f>IF(AQ331="7",BH331,0)</f>
        <v>0</v>
      </c>
      <c r="AE331" s="22">
        <f>IF(AQ331="7",BI331,0)</f>
        <v>0</v>
      </c>
      <c r="AF331" s="22">
        <f>IF(AQ331="2",BH331,0)</f>
        <v>0</v>
      </c>
      <c r="AG331" s="22">
        <f>IF(AQ331="2",BI331,0)</f>
        <v>0</v>
      </c>
      <c r="AH331" s="22">
        <f>IF(AQ331="0",BJ331,0)</f>
        <v>0</v>
      </c>
      <c r="AI331" s="34" t="s">
        <v>659</v>
      </c>
      <c r="AJ331" s="6">
        <f>IF(AN331=0,J331,0)</f>
        <v>0</v>
      </c>
      <c r="AK331" s="6">
        <f>IF(AN331=15,J331,0)</f>
        <v>0</v>
      </c>
      <c r="AL331" s="6">
        <f>IF(AN331=21,J331,0)</f>
        <v>126</v>
      </c>
      <c r="AN331" s="22">
        <v>21</v>
      </c>
      <c r="AO331" s="22">
        <f>G331*1</f>
        <v>105</v>
      </c>
      <c r="AP331" s="22">
        <f>G331*(1-1)</f>
        <v>0</v>
      </c>
      <c r="AQ331" s="39" t="s">
        <v>7</v>
      </c>
      <c r="AV331" s="22">
        <f>AW331+AX331</f>
        <v>126</v>
      </c>
      <c r="AW331" s="22">
        <f>F331*AO331</f>
        <v>126</v>
      </c>
      <c r="AX331" s="22">
        <f>F331*AP331</f>
        <v>0</v>
      </c>
      <c r="AY331" s="77" t="s">
        <v>899</v>
      </c>
      <c r="AZ331" s="77" t="s">
        <v>931</v>
      </c>
      <c r="BA331" s="34" t="s">
        <v>935</v>
      </c>
      <c r="BC331" s="22">
        <f>AW331+AX331</f>
        <v>126</v>
      </c>
      <c r="BD331" s="22">
        <f>G331/(100-BE331)*100</f>
        <v>105</v>
      </c>
      <c r="BE331" s="22">
        <v>0</v>
      </c>
      <c r="BF331" s="22">
        <f>L331</f>
        <v>1.1999999999999999E-3</v>
      </c>
      <c r="BH331" s="6">
        <f>F331*AO331</f>
        <v>126</v>
      </c>
      <c r="BI331" s="6">
        <f>F331*AP331</f>
        <v>0</v>
      </c>
      <c r="BJ331" s="6">
        <f>F331*G331</f>
        <v>126</v>
      </c>
    </row>
    <row r="332" spans="1:62">
      <c r="C332" s="67" t="s">
        <v>672</v>
      </c>
      <c r="D332" s="167" t="s">
        <v>719</v>
      </c>
      <c r="E332" s="168"/>
      <c r="F332" s="168"/>
      <c r="G332" s="168"/>
      <c r="H332" s="168"/>
      <c r="I332" s="168"/>
      <c r="J332" s="168"/>
      <c r="K332" s="168"/>
      <c r="L332" s="168"/>
      <c r="M332" s="168"/>
    </row>
    <row r="333" spans="1:62">
      <c r="A333" s="2" t="s">
        <v>209</v>
      </c>
      <c r="B333" s="2" t="s">
        <v>659</v>
      </c>
      <c r="C333" s="2" t="s">
        <v>261</v>
      </c>
      <c r="D333" s="2" t="s">
        <v>455</v>
      </c>
      <c r="E333" s="2" t="s">
        <v>641</v>
      </c>
      <c r="F333" s="6">
        <f>'Rozpočet - vybrané sloupce'!AN263</f>
        <v>0.4</v>
      </c>
      <c r="G333" s="6">
        <f>'Rozpočet - vybrané sloupce'!AS263</f>
        <v>266.24</v>
      </c>
      <c r="H333" s="6">
        <f>F333*AO333</f>
        <v>106.49600000000001</v>
      </c>
      <c r="I333" s="6">
        <f>F333*AP333</f>
        <v>0</v>
      </c>
      <c r="J333" s="6">
        <f>F333*G333</f>
        <v>106.49600000000001</v>
      </c>
      <c r="K333" s="6">
        <v>1E-3</v>
      </c>
      <c r="L333" s="6">
        <f>F333*K333</f>
        <v>4.0000000000000002E-4</v>
      </c>
      <c r="M333" s="39" t="s">
        <v>653</v>
      </c>
      <c r="Z333" s="22">
        <f>IF(AQ333="5",BJ333,0)</f>
        <v>0</v>
      </c>
      <c r="AB333" s="22">
        <f>IF(AQ333="1",BH333,0)</f>
        <v>106.49600000000001</v>
      </c>
      <c r="AC333" s="22">
        <f>IF(AQ333="1",BI333,0)</f>
        <v>0</v>
      </c>
      <c r="AD333" s="22">
        <f>IF(AQ333="7",BH333,0)</f>
        <v>0</v>
      </c>
      <c r="AE333" s="22">
        <f>IF(AQ333="7",BI333,0)</f>
        <v>0</v>
      </c>
      <c r="AF333" s="22">
        <f>IF(AQ333="2",BH333,0)</f>
        <v>0</v>
      </c>
      <c r="AG333" s="22">
        <f>IF(AQ333="2",BI333,0)</f>
        <v>0</v>
      </c>
      <c r="AH333" s="22">
        <f>IF(AQ333="0",BJ333,0)</f>
        <v>0</v>
      </c>
      <c r="AI333" s="34" t="s">
        <v>659</v>
      </c>
      <c r="AJ333" s="6">
        <f>IF(AN333=0,J333,0)</f>
        <v>0</v>
      </c>
      <c r="AK333" s="6">
        <f>IF(AN333=15,J333,0)</f>
        <v>0</v>
      </c>
      <c r="AL333" s="6">
        <f>IF(AN333=21,J333,0)</f>
        <v>106.49600000000001</v>
      </c>
      <c r="AN333" s="22">
        <v>21</v>
      </c>
      <c r="AO333" s="22">
        <f>G333*1</f>
        <v>266.24</v>
      </c>
      <c r="AP333" s="22">
        <f>G333*(1-1)</f>
        <v>0</v>
      </c>
      <c r="AQ333" s="39" t="s">
        <v>7</v>
      </c>
      <c r="AV333" s="22">
        <f>AW333+AX333</f>
        <v>106.49600000000001</v>
      </c>
      <c r="AW333" s="22">
        <f>F333*AO333</f>
        <v>106.49600000000001</v>
      </c>
      <c r="AX333" s="22">
        <f>F333*AP333</f>
        <v>0</v>
      </c>
      <c r="AY333" s="77" t="s">
        <v>899</v>
      </c>
      <c r="AZ333" s="77" t="s">
        <v>931</v>
      </c>
      <c r="BA333" s="34" t="s">
        <v>935</v>
      </c>
      <c r="BC333" s="22">
        <f>AW333+AX333</f>
        <v>106.49600000000001</v>
      </c>
      <c r="BD333" s="22">
        <f>G333/(100-BE333)*100</f>
        <v>266.24</v>
      </c>
      <c r="BE333" s="22">
        <v>0</v>
      </c>
      <c r="BF333" s="22">
        <f>L333</f>
        <v>4.0000000000000002E-4</v>
      </c>
      <c r="BH333" s="6">
        <f>F333*AO333</f>
        <v>106.49600000000001</v>
      </c>
      <c r="BI333" s="6">
        <f>F333*AP333</f>
        <v>0</v>
      </c>
      <c r="BJ333" s="6">
        <f>F333*G333</f>
        <v>106.49600000000001</v>
      </c>
    </row>
    <row r="334" spans="1:62">
      <c r="A334" s="59"/>
      <c r="B334" s="28" t="s">
        <v>659</v>
      </c>
      <c r="C334" s="28" t="s">
        <v>62</v>
      </c>
      <c r="D334" s="28" t="s">
        <v>524</v>
      </c>
      <c r="E334" s="59" t="s">
        <v>6</v>
      </c>
      <c r="F334" s="59" t="s">
        <v>6</v>
      </c>
      <c r="G334" s="59" t="s">
        <v>6</v>
      </c>
      <c r="H334" s="8">
        <f>SUM(H335:H337)</f>
        <v>129299.17999999996</v>
      </c>
      <c r="I334" s="8">
        <f>SUM(I335:I337)</f>
        <v>21226.320000000036</v>
      </c>
      <c r="J334" s="8">
        <f>SUM(J335:J337)</f>
        <v>150525.5</v>
      </c>
      <c r="K334" s="34"/>
      <c r="L334" s="8">
        <f>SUM(L335:L337)</f>
        <v>316.38599999999997</v>
      </c>
      <c r="M334" s="34"/>
      <c r="AI334" s="34" t="s">
        <v>659</v>
      </c>
      <c r="AS334" s="8">
        <f>SUM(AJ335:AJ337)</f>
        <v>0</v>
      </c>
      <c r="AT334" s="8">
        <f>SUM(AK335:AK337)</f>
        <v>0</v>
      </c>
      <c r="AU334" s="8">
        <f>SUM(AL335:AL337)</f>
        <v>150525.5</v>
      </c>
    </row>
    <row r="335" spans="1:62">
      <c r="A335" s="1" t="s">
        <v>210</v>
      </c>
      <c r="B335" s="1" t="s">
        <v>659</v>
      </c>
      <c r="C335" s="1" t="s">
        <v>326</v>
      </c>
      <c r="D335" s="1" t="s">
        <v>527</v>
      </c>
      <c r="E335" s="1" t="s">
        <v>636</v>
      </c>
      <c r="F335" s="5">
        <f>'Rozpočet - vybrané sloupce'!AN265</f>
        <v>412</v>
      </c>
      <c r="G335" s="5">
        <f>'Rozpočet - vybrané sloupce'!AS265</f>
        <v>174</v>
      </c>
      <c r="H335" s="5">
        <f>F335*AO335</f>
        <v>61239.679999999971</v>
      </c>
      <c r="I335" s="5">
        <f>F335*AP335</f>
        <v>10448.320000000029</v>
      </c>
      <c r="J335" s="5">
        <f>F335*G335</f>
        <v>71688</v>
      </c>
      <c r="K335" s="5">
        <v>0.378</v>
      </c>
      <c r="L335" s="5">
        <f>F335*K335</f>
        <v>155.73599999999999</v>
      </c>
      <c r="M335" s="38" t="s">
        <v>653</v>
      </c>
      <c r="Z335" s="22">
        <f>IF(AQ335="5",BJ335,0)</f>
        <v>0</v>
      </c>
      <c r="AB335" s="22">
        <f>IF(AQ335="1",BH335,0)</f>
        <v>61239.679999999971</v>
      </c>
      <c r="AC335" s="22">
        <f>IF(AQ335="1",BI335,0)</f>
        <v>10448.320000000029</v>
      </c>
      <c r="AD335" s="22">
        <f>IF(AQ335="7",BH335,0)</f>
        <v>0</v>
      </c>
      <c r="AE335" s="22">
        <f>IF(AQ335="7",BI335,0)</f>
        <v>0</v>
      </c>
      <c r="AF335" s="22">
        <f>IF(AQ335="2",BH335,0)</f>
        <v>0</v>
      </c>
      <c r="AG335" s="22">
        <f>IF(AQ335="2",BI335,0)</f>
        <v>0</v>
      </c>
      <c r="AH335" s="22">
        <f>IF(AQ335="0",BJ335,0)</f>
        <v>0</v>
      </c>
      <c r="AI335" s="34" t="s">
        <v>659</v>
      </c>
      <c r="AJ335" s="5">
        <f>IF(AN335=0,J335,0)</f>
        <v>0</v>
      </c>
      <c r="AK335" s="5">
        <f>IF(AN335=15,J335,0)</f>
        <v>0</v>
      </c>
      <c r="AL335" s="5">
        <f>IF(AN335=21,J335,0)</f>
        <v>71688</v>
      </c>
      <c r="AN335" s="22">
        <v>21</v>
      </c>
      <c r="AO335" s="22">
        <f>G335*0.854252873563218</f>
        <v>148.63999999999993</v>
      </c>
      <c r="AP335" s="22">
        <f>G335*(1-0.854252873563218)</f>
        <v>25.36000000000007</v>
      </c>
      <c r="AQ335" s="38" t="s">
        <v>7</v>
      </c>
      <c r="AV335" s="22">
        <f>AW335+AX335</f>
        <v>71688</v>
      </c>
      <c r="AW335" s="22">
        <f>F335*AO335</f>
        <v>61239.679999999971</v>
      </c>
      <c r="AX335" s="22">
        <f>F335*AP335</f>
        <v>10448.320000000029</v>
      </c>
      <c r="AY335" s="77" t="s">
        <v>903</v>
      </c>
      <c r="AZ335" s="77" t="s">
        <v>932</v>
      </c>
      <c r="BA335" s="34" t="s">
        <v>935</v>
      </c>
      <c r="BC335" s="22">
        <f>AW335+AX335</f>
        <v>71688</v>
      </c>
      <c r="BD335" s="22">
        <f>G335/(100-BE335)*100</f>
        <v>174</v>
      </c>
      <c r="BE335" s="22">
        <v>0</v>
      </c>
      <c r="BF335" s="22">
        <f>L335</f>
        <v>155.73599999999999</v>
      </c>
      <c r="BH335" s="5">
        <f>F335*AO335</f>
        <v>61239.679999999971</v>
      </c>
      <c r="BI335" s="5">
        <f>F335*AP335</f>
        <v>10448.320000000029</v>
      </c>
      <c r="BJ335" s="5">
        <f>F335*G335</f>
        <v>71688</v>
      </c>
    </row>
    <row r="336" spans="1:62">
      <c r="D336" s="3" t="s">
        <v>528</v>
      </c>
    </row>
    <row r="337" spans="1:62">
      <c r="A337" s="1" t="s">
        <v>211</v>
      </c>
      <c r="B337" s="1" t="s">
        <v>659</v>
      </c>
      <c r="C337" s="1" t="s">
        <v>327</v>
      </c>
      <c r="D337" s="1" t="s">
        <v>527</v>
      </c>
      <c r="E337" s="1" t="s">
        <v>636</v>
      </c>
      <c r="F337" s="5">
        <f>'Rozpočet - vybrané sloupce'!AN267</f>
        <v>425</v>
      </c>
      <c r="G337" s="5">
        <f>'Rozpočet - vybrané sloupce'!AS267</f>
        <v>185.5</v>
      </c>
      <c r="H337" s="5">
        <f>F337*AO337</f>
        <v>68059.5</v>
      </c>
      <c r="I337" s="5">
        <f>F337*AP337</f>
        <v>10778.000000000007</v>
      </c>
      <c r="J337" s="5">
        <f>F337*G337</f>
        <v>78837.5</v>
      </c>
      <c r="K337" s="5">
        <v>0.378</v>
      </c>
      <c r="L337" s="5">
        <f>F337*K337</f>
        <v>160.65</v>
      </c>
      <c r="M337" s="38" t="s">
        <v>653</v>
      </c>
      <c r="Z337" s="22">
        <f>IF(AQ337="5",BJ337,0)</f>
        <v>0</v>
      </c>
      <c r="AB337" s="22">
        <f>IF(AQ337="1",BH337,0)</f>
        <v>68059.5</v>
      </c>
      <c r="AC337" s="22">
        <f>IF(AQ337="1",BI337,0)</f>
        <v>10778.000000000007</v>
      </c>
      <c r="AD337" s="22">
        <f>IF(AQ337="7",BH337,0)</f>
        <v>0</v>
      </c>
      <c r="AE337" s="22">
        <f>IF(AQ337="7",BI337,0)</f>
        <v>0</v>
      </c>
      <c r="AF337" s="22">
        <f>IF(AQ337="2",BH337,0)</f>
        <v>0</v>
      </c>
      <c r="AG337" s="22">
        <f>IF(AQ337="2",BI337,0)</f>
        <v>0</v>
      </c>
      <c r="AH337" s="22">
        <f>IF(AQ337="0",BJ337,0)</f>
        <v>0</v>
      </c>
      <c r="AI337" s="34" t="s">
        <v>659</v>
      </c>
      <c r="AJ337" s="5">
        <f>IF(AN337=0,J337,0)</f>
        <v>0</v>
      </c>
      <c r="AK337" s="5">
        <f>IF(AN337=15,J337,0)</f>
        <v>0</v>
      </c>
      <c r="AL337" s="5">
        <f>IF(AN337=21,J337,0)</f>
        <v>78837.5</v>
      </c>
      <c r="AN337" s="22">
        <v>21</v>
      </c>
      <c r="AO337" s="22">
        <f>G337*0.863288409703504</f>
        <v>160.13999999999999</v>
      </c>
      <c r="AP337" s="22">
        <f>G337*(1-0.863288409703504)</f>
        <v>25.360000000000017</v>
      </c>
      <c r="AQ337" s="38" t="s">
        <v>7</v>
      </c>
      <c r="AV337" s="22">
        <f>AW337+AX337</f>
        <v>78837.5</v>
      </c>
      <c r="AW337" s="22">
        <f>F337*AO337</f>
        <v>68059.5</v>
      </c>
      <c r="AX337" s="22">
        <f>F337*AP337</f>
        <v>10778.000000000007</v>
      </c>
      <c r="AY337" s="77" t="s">
        <v>903</v>
      </c>
      <c r="AZ337" s="77" t="s">
        <v>932</v>
      </c>
      <c r="BA337" s="34" t="s">
        <v>935</v>
      </c>
      <c r="BC337" s="22">
        <f>AW337+AX337</f>
        <v>78837.5</v>
      </c>
      <c r="BD337" s="22">
        <f>G337/(100-BE337)*100</f>
        <v>185.5</v>
      </c>
      <c r="BE337" s="22">
        <v>0</v>
      </c>
      <c r="BF337" s="22">
        <f>L337</f>
        <v>160.65</v>
      </c>
      <c r="BH337" s="5">
        <f>F337*AO337</f>
        <v>68059.5</v>
      </c>
      <c r="BI337" s="5">
        <f>F337*AP337</f>
        <v>10778.000000000007</v>
      </c>
      <c r="BJ337" s="5">
        <f>F337*G337</f>
        <v>78837.5</v>
      </c>
    </row>
    <row r="338" spans="1:62">
      <c r="D338" s="3" t="s">
        <v>529</v>
      </c>
    </row>
    <row r="339" spans="1:62">
      <c r="A339" s="59"/>
      <c r="B339" s="28" t="s">
        <v>659</v>
      </c>
      <c r="C339" s="28" t="s">
        <v>63</v>
      </c>
      <c r="D339" s="28" t="s">
        <v>532</v>
      </c>
      <c r="E339" s="59" t="s">
        <v>6</v>
      </c>
      <c r="F339" s="59" t="s">
        <v>6</v>
      </c>
      <c r="G339" s="59" t="s">
        <v>6</v>
      </c>
      <c r="H339" s="8">
        <f>SUM(H340:H345)</f>
        <v>261365.38899383019</v>
      </c>
      <c r="I339" s="8">
        <f>SUM(I340:I345)</f>
        <v>144577.04600616975</v>
      </c>
      <c r="J339" s="8">
        <f>SUM(J340:J345)</f>
        <v>405942.43499999994</v>
      </c>
      <c r="K339" s="34"/>
      <c r="L339" s="8">
        <f>SUM(L340:L345)</f>
        <v>112.04729999999999</v>
      </c>
      <c r="M339" s="34"/>
      <c r="AI339" s="34" t="s">
        <v>659</v>
      </c>
      <c r="AS339" s="8">
        <f>SUM(AJ340:AJ345)</f>
        <v>0</v>
      </c>
      <c r="AT339" s="8">
        <f>SUM(AK340:AK345)</f>
        <v>0</v>
      </c>
      <c r="AU339" s="8">
        <f>SUM(AL340:AL345)</f>
        <v>405942.43499999994</v>
      </c>
    </row>
    <row r="340" spans="1:62">
      <c r="A340" s="1" t="s">
        <v>212</v>
      </c>
      <c r="B340" s="1" t="s">
        <v>659</v>
      </c>
      <c r="C340" s="1" t="s">
        <v>330</v>
      </c>
      <c r="D340" s="1" t="s">
        <v>533</v>
      </c>
      <c r="E340" s="1" t="s">
        <v>636</v>
      </c>
      <c r="F340" s="5">
        <f>'Rozpočet - vybrané sloupce'!AN270</f>
        <v>391.5</v>
      </c>
      <c r="G340" s="5">
        <f>'Rozpočet - vybrané sloupce'!AS270</f>
        <v>338.99</v>
      </c>
      <c r="H340" s="5">
        <f>F340*AO340</f>
        <v>83091.956869524322</v>
      </c>
      <c r="I340" s="5">
        <f>F340*AP340</f>
        <v>49622.628130475678</v>
      </c>
      <c r="J340" s="5">
        <f>F340*G340</f>
        <v>132714.58499999999</v>
      </c>
      <c r="K340" s="5">
        <v>0.10373</v>
      </c>
      <c r="L340" s="5">
        <f>F340*K340</f>
        <v>40.610295000000001</v>
      </c>
      <c r="M340" s="38" t="s">
        <v>653</v>
      </c>
      <c r="Z340" s="22">
        <f>IF(AQ340="5",BJ340,0)</f>
        <v>0</v>
      </c>
      <c r="AB340" s="22">
        <f>IF(AQ340="1",BH340,0)</f>
        <v>83091.956869524322</v>
      </c>
      <c r="AC340" s="22">
        <f>IF(AQ340="1",BI340,0)</f>
        <v>49622.628130475678</v>
      </c>
      <c r="AD340" s="22">
        <f>IF(AQ340="7",BH340,0)</f>
        <v>0</v>
      </c>
      <c r="AE340" s="22">
        <f>IF(AQ340="7",BI340,0)</f>
        <v>0</v>
      </c>
      <c r="AF340" s="22">
        <f>IF(AQ340="2",BH340,0)</f>
        <v>0</v>
      </c>
      <c r="AG340" s="22">
        <f>IF(AQ340="2",BI340,0)</f>
        <v>0</v>
      </c>
      <c r="AH340" s="22">
        <f>IF(AQ340="0",BJ340,0)</f>
        <v>0</v>
      </c>
      <c r="AI340" s="34" t="s">
        <v>659</v>
      </c>
      <c r="AJ340" s="5">
        <f>IF(AN340=0,J340,0)</f>
        <v>0</v>
      </c>
      <c r="AK340" s="5">
        <f>IF(AN340=15,J340,0)</f>
        <v>0</v>
      </c>
      <c r="AL340" s="5">
        <f>IF(AN340=21,J340,0)</f>
        <v>132714.58499999999</v>
      </c>
      <c r="AN340" s="22">
        <v>21</v>
      </c>
      <c r="AO340" s="22">
        <f>G340*0.626095141461086</f>
        <v>212.23999200389355</v>
      </c>
      <c r="AP340" s="22">
        <f>G340*(1-0.626095141461086)</f>
        <v>126.75000799610645</v>
      </c>
      <c r="AQ340" s="38" t="s">
        <v>7</v>
      </c>
      <c r="AV340" s="22">
        <f>AW340+AX340</f>
        <v>132714.58499999999</v>
      </c>
      <c r="AW340" s="22">
        <f>F340*AO340</f>
        <v>83091.956869524322</v>
      </c>
      <c r="AX340" s="22">
        <f>F340*AP340</f>
        <v>49622.628130475678</v>
      </c>
      <c r="AY340" s="77" t="s">
        <v>904</v>
      </c>
      <c r="AZ340" s="77" t="s">
        <v>932</v>
      </c>
      <c r="BA340" s="34" t="s">
        <v>935</v>
      </c>
      <c r="BC340" s="22">
        <f>AW340+AX340</f>
        <v>132714.58499999999</v>
      </c>
      <c r="BD340" s="22">
        <f>G340/(100-BE340)*100</f>
        <v>338.99</v>
      </c>
      <c r="BE340" s="22">
        <v>0</v>
      </c>
      <c r="BF340" s="22">
        <f>L340</f>
        <v>40.610295000000001</v>
      </c>
      <c r="BH340" s="5">
        <f>F340*AO340</f>
        <v>83091.956869524322</v>
      </c>
      <c r="BI340" s="5">
        <f>F340*AP340</f>
        <v>49622.628130475678</v>
      </c>
      <c r="BJ340" s="5">
        <f>F340*G340</f>
        <v>132714.58499999999</v>
      </c>
    </row>
    <row r="341" spans="1:62">
      <c r="D341" s="3" t="s">
        <v>534</v>
      </c>
    </row>
    <row r="342" spans="1:62">
      <c r="A342" s="1" t="s">
        <v>213</v>
      </c>
      <c r="B342" s="1" t="s">
        <v>659</v>
      </c>
      <c r="C342" s="1" t="s">
        <v>331</v>
      </c>
      <c r="D342" s="1" t="s">
        <v>535</v>
      </c>
      <c r="E342" s="1" t="s">
        <v>636</v>
      </c>
      <c r="F342" s="5">
        <f>'Rozpočet - vybrané sloupce'!AN272</f>
        <v>391.5</v>
      </c>
      <c r="G342" s="5">
        <f>'Rozpočet - vybrané sloupce'!AS272</f>
        <v>13.51</v>
      </c>
      <c r="H342" s="5">
        <f>F342*AO342</f>
        <v>4862.4254034092291</v>
      </c>
      <c r="I342" s="5">
        <f>F342*AP342</f>
        <v>426.73959659077047</v>
      </c>
      <c r="J342" s="5">
        <f>F342*G342</f>
        <v>5289.165</v>
      </c>
      <c r="K342" s="5">
        <v>6.0999999999999997E-4</v>
      </c>
      <c r="L342" s="5">
        <f>F342*K342</f>
        <v>0.238815</v>
      </c>
      <c r="M342" s="38" t="s">
        <v>653</v>
      </c>
      <c r="Z342" s="22">
        <f>IF(AQ342="5",BJ342,0)</f>
        <v>0</v>
      </c>
      <c r="AB342" s="22">
        <f>IF(AQ342="1",BH342,0)</f>
        <v>4862.4254034092291</v>
      </c>
      <c r="AC342" s="22">
        <f>IF(AQ342="1",BI342,0)</f>
        <v>426.73959659077047</v>
      </c>
      <c r="AD342" s="22">
        <f>IF(AQ342="7",BH342,0)</f>
        <v>0</v>
      </c>
      <c r="AE342" s="22">
        <f>IF(AQ342="7",BI342,0)</f>
        <v>0</v>
      </c>
      <c r="AF342" s="22">
        <f>IF(AQ342="2",BH342,0)</f>
        <v>0</v>
      </c>
      <c r="AG342" s="22">
        <f>IF(AQ342="2",BI342,0)</f>
        <v>0</v>
      </c>
      <c r="AH342" s="22">
        <f>IF(AQ342="0",BJ342,0)</f>
        <v>0</v>
      </c>
      <c r="AI342" s="34" t="s">
        <v>659</v>
      </c>
      <c r="AJ342" s="5">
        <f>IF(AN342=0,J342,0)</f>
        <v>0</v>
      </c>
      <c r="AK342" s="5">
        <f>IF(AN342=15,J342,0)</f>
        <v>0</v>
      </c>
      <c r="AL342" s="5">
        <f>IF(AN342=21,J342,0)</f>
        <v>5289.165</v>
      </c>
      <c r="AN342" s="22">
        <v>21</v>
      </c>
      <c r="AO342" s="22">
        <f>G342*0.919318153888039</f>
        <v>12.419988259027406</v>
      </c>
      <c r="AP342" s="22">
        <f>G342*(1-0.919318153888039)</f>
        <v>1.0900117409725938</v>
      </c>
      <c r="AQ342" s="38" t="s">
        <v>7</v>
      </c>
      <c r="AV342" s="22">
        <f>AW342+AX342</f>
        <v>5289.165</v>
      </c>
      <c r="AW342" s="22">
        <f>F342*AO342</f>
        <v>4862.4254034092291</v>
      </c>
      <c r="AX342" s="22">
        <f>F342*AP342</f>
        <v>426.73959659077047</v>
      </c>
      <c r="AY342" s="77" t="s">
        <v>904</v>
      </c>
      <c r="AZ342" s="77" t="s">
        <v>932</v>
      </c>
      <c r="BA342" s="34" t="s">
        <v>935</v>
      </c>
      <c r="BC342" s="22">
        <f>AW342+AX342</f>
        <v>5289.165</v>
      </c>
      <c r="BD342" s="22">
        <f>G342/(100-BE342)*100</f>
        <v>13.51</v>
      </c>
      <c r="BE342" s="22">
        <v>0</v>
      </c>
      <c r="BF342" s="22">
        <f>L342</f>
        <v>0.238815</v>
      </c>
      <c r="BH342" s="5">
        <f>F342*AO342</f>
        <v>4862.4254034092291</v>
      </c>
      <c r="BI342" s="5">
        <f>F342*AP342</f>
        <v>426.73959659077047</v>
      </c>
      <c r="BJ342" s="5">
        <f>F342*G342</f>
        <v>5289.165</v>
      </c>
    </row>
    <row r="343" spans="1:62">
      <c r="A343" s="1" t="s">
        <v>214</v>
      </c>
      <c r="B343" s="1" t="s">
        <v>659</v>
      </c>
      <c r="C343" s="1" t="s">
        <v>332</v>
      </c>
      <c r="D343" s="1" t="s">
        <v>536</v>
      </c>
      <c r="E343" s="1" t="s">
        <v>636</v>
      </c>
      <c r="F343" s="5">
        <f>'Rozpočet - vybrané sloupce'!AN273</f>
        <v>391.5</v>
      </c>
      <c r="G343" s="5">
        <f>'Rozpočet - vybrané sloupce'!AS273</f>
        <v>665.99</v>
      </c>
      <c r="H343" s="5">
        <f>F343*AO343</f>
        <v>170995.45172089664</v>
      </c>
      <c r="I343" s="5">
        <f>F343*AP343</f>
        <v>89739.633279103335</v>
      </c>
      <c r="J343" s="5">
        <f>F343*G343</f>
        <v>260735.08499999999</v>
      </c>
      <c r="K343" s="5">
        <v>0.18151999999999999</v>
      </c>
      <c r="L343" s="5">
        <f>F343*K343</f>
        <v>71.065079999999995</v>
      </c>
      <c r="M343" s="38" t="s">
        <v>653</v>
      </c>
      <c r="Z343" s="22">
        <f>IF(AQ343="5",BJ343,0)</f>
        <v>0</v>
      </c>
      <c r="AB343" s="22">
        <f>IF(AQ343="1",BH343,0)</f>
        <v>170995.45172089664</v>
      </c>
      <c r="AC343" s="22">
        <f>IF(AQ343="1",BI343,0)</f>
        <v>89739.633279103335</v>
      </c>
      <c r="AD343" s="22">
        <f>IF(AQ343="7",BH343,0)</f>
        <v>0</v>
      </c>
      <c r="AE343" s="22">
        <f>IF(AQ343="7",BI343,0)</f>
        <v>0</v>
      </c>
      <c r="AF343" s="22">
        <f>IF(AQ343="2",BH343,0)</f>
        <v>0</v>
      </c>
      <c r="AG343" s="22">
        <f>IF(AQ343="2",BI343,0)</f>
        <v>0</v>
      </c>
      <c r="AH343" s="22">
        <f>IF(AQ343="0",BJ343,0)</f>
        <v>0</v>
      </c>
      <c r="AI343" s="34" t="s">
        <v>659</v>
      </c>
      <c r="AJ343" s="5">
        <f>IF(AN343=0,J343,0)</f>
        <v>0</v>
      </c>
      <c r="AK343" s="5">
        <f>IF(AN343=15,J343,0)</f>
        <v>0</v>
      </c>
      <c r="AL343" s="5">
        <f>IF(AN343=21,J343,0)</f>
        <v>260735.08499999999</v>
      </c>
      <c r="AN343" s="22">
        <v>21</v>
      </c>
      <c r="AO343" s="22">
        <f>G343*0.655820645391458</f>
        <v>436.7699916242571</v>
      </c>
      <c r="AP343" s="22">
        <f>G343*(1-0.655820645391458)</f>
        <v>229.22000837574288</v>
      </c>
      <c r="AQ343" s="38" t="s">
        <v>7</v>
      </c>
      <c r="AV343" s="22">
        <f>AW343+AX343</f>
        <v>260735.08499999996</v>
      </c>
      <c r="AW343" s="22">
        <f>F343*AO343</f>
        <v>170995.45172089664</v>
      </c>
      <c r="AX343" s="22">
        <f>F343*AP343</f>
        <v>89739.633279103335</v>
      </c>
      <c r="AY343" s="77" t="s">
        <v>904</v>
      </c>
      <c r="AZ343" s="77" t="s">
        <v>932</v>
      </c>
      <c r="BA343" s="34" t="s">
        <v>935</v>
      </c>
      <c r="BC343" s="22">
        <f>AW343+AX343</f>
        <v>260735.08499999996</v>
      </c>
      <c r="BD343" s="22">
        <f>G343/(100-BE343)*100</f>
        <v>665.99</v>
      </c>
      <c r="BE343" s="22">
        <v>0</v>
      </c>
      <c r="BF343" s="22">
        <f>L343</f>
        <v>71.065079999999995</v>
      </c>
      <c r="BH343" s="5">
        <f>F343*AO343</f>
        <v>170995.45172089664</v>
      </c>
      <c r="BI343" s="5">
        <f>F343*AP343</f>
        <v>89739.633279103335</v>
      </c>
      <c r="BJ343" s="5">
        <f>F343*G343</f>
        <v>260735.08499999999</v>
      </c>
    </row>
    <row r="344" spans="1:62">
      <c r="D344" s="3" t="s">
        <v>534</v>
      </c>
    </row>
    <row r="345" spans="1:62">
      <c r="A345" s="1" t="s">
        <v>215</v>
      </c>
      <c r="B345" s="1" t="s">
        <v>659</v>
      </c>
      <c r="C345" s="1" t="s">
        <v>333</v>
      </c>
      <c r="D345" s="1" t="s">
        <v>537</v>
      </c>
      <c r="E345" s="1" t="s">
        <v>636</v>
      </c>
      <c r="F345" s="5">
        <f>'Rozpočet - vybrané sloupce'!AN275</f>
        <v>391.5</v>
      </c>
      <c r="G345" s="5">
        <f>'Rozpočet - vybrané sloupce'!AS275</f>
        <v>18.399999999999999</v>
      </c>
      <c r="H345" s="5">
        <f>F345*AO345</f>
        <v>2415.5550000000017</v>
      </c>
      <c r="I345" s="5">
        <f>F345*AP345</f>
        <v>4788.0449999999983</v>
      </c>
      <c r="J345" s="5">
        <f>F345*G345</f>
        <v>7203.5999999999995</v>
      </c>
      <c r="K345" s="5">
        <v>3.4000000000000002E-4</v>
      </c>
      <c r="L345" s="5">
        <f>F345*K345</f>
        <v>0.13311000000000001</v>
      </c>
      <c r="M345" s="38" t="s">
        <v>653</v>
      </c>
      <c r="Z345" s="22">
        <f>IF(AQ345="5",BJ345,0)</f>
        <v>0</v>
      </c>
      <c r="AB345" s="22">
        <f>IF(AQ345="1",BH345,0)</f>
        <v>2415.5550000000017</v>
      </c>
      <c r="AC345" s="22">
        <f>IF(AQ345="1",BI345,0)</f>
        <v>4788.0449999999983</v>
      </c>
      <c r="AD345" s="22">
        <f>IF(AQ345="7",BH345,0)</f>
        <v>0</v>
      </c>
      <c r="AE345" s="22">
        <f>IF(AQ345="7",BI345,0)</f>
        <v>0</v>
      </c>
      <c r="AF345" s="22">
        <f>IF(AQ345="2",BH345,0)</f>
        <v>0</v>
      </c>
      <c r="AG345" s="22">
        <f>IF(AQ345="2",BI345,0)</f>
        <v>0</v>
      </c>
      <c r="AH345" s="22">
        <f>IF(AQ345="0",BJ345,0)</f>
        <v>0</v>
      </c>
      <c r="AI345" s="34" t="s">
        <v>659</v>
      </c>
      <c r="AJ345" s="5">
        <f>IF(AN345=0,J345,0)</f>
        <v>0</v>
      </c>
      <c r="AK345" s="5">
        <f>IF(AN345=15,J345,0)</f>
        <v>0</v>
      </c>
      <c r="AL345" s="5">
        <f>IF(AN345=21,J345,0)</f>
        <v>7203.5999999999995</v>
      </c>
      <c r="AN345" s="22">
        <v>21</v>
      </c>
      <c r="AO345" s="22">
        <f>G345*0.335326086956522</f>
        <v>6.1700000000000044</v>
      </c>
      <c r="AP345" s="22">
        <f>G345*(1-0.335326086956522)</f>
        <v>12.229999999999995</v>
      </c>
      <c r="AQ345" s="38" t="s">
        <v>7</v>
      </c>
      <c r="AV345" s="22">
        <f>AW345+AX345</f>
        <v>7203.6</v>
      </c>
      <c r="AW345" s="22">
        <f>F345*AO345</f>
        <v>2415.5550000000017</v>
      </c>
      <c r="AX345" s="22">
        <f>F345*AP345</f>
        <v>4788.0449999999983</v>
      </c>
      <c r="AY345" s="77" t="s">
        <v>904</v>
      </c>
      <c r="AZ345" s="77" t="s">
        <v>932</v>
      </c>
      <c r="BA345" s="34" t="s">
        <v>935</v>
      </c>
      <c r="BC345" s="22">
        <f>AW345+AX345</f>
        <v>7203.6</v>
      </c>
      <c r="BD345" s="22">
        <f>G345/(100-BE345)*100</f>
        <v>18.399999999999999</v>
      </c>
      <c r="BE345" s="22">
        <v>0</v>
      </c>
      <c r="BF345" s="22">
        <f>L345</f>
        <v>0.13311000000000001</v>
      </c>
      <c r="BH345" s="5">
        <f>F345*AO345</f>
        <v>2415.5550000000017</v>
      </c>
      <c r="BI345" s="5">
        <f>F345*AP345</f>
        <v>4788.0449999999983</v>
      </c>
      <c r="BJ345" s="5">
        <f>F345*G345</f>
        <v>7203.5999999999995</v>
      </c>
    </row>
    <row r="346" spans="1:62">
      <c r="A346" s="59"/>
      <c r="B346" s="28" t="s">
        <v>659</v>
      </c>
      <c r="C346" s="28" t="s">
        <v>97</v>
      </c>
      <c r="D346" s="28" t="s">
        <v>607</v>
      </c>
      <c r="E346" s="59" t="s">
        <v>6</v>
      </c>
      <c r="F346" s="59" t="s">
        <v>6</v>
      </c>
      <c r="G346" s="59" t="s">
        <v>6</v>
      </c>
      <c r="H346" s="8">
        <f>SUM(H347:H347)</f>
        <v>19903.30999999999</v>
      </c>
      <c r="I346" s="8">
        <f>SUM(I347:I347)</f>
        <v>9277.4400000000096</v>
      </c>
      <c r="J346" s="8">
        <f>SUM(J347:J347)</f>
        <v>29180.75</v>
      </c>
      <c r="K346" s="34"/>
      <c r="L346" s="8">
        <f>SUM(L347:L347)</f>
        <v>16.710415000000001</v>
      </c>
      <c r="M346" s="34"/>
      <c r="AI346" s="34" t="s">
        <v>659</v>
      </c>
      <c r="AS346" s="8">
        <f>SUM(AJ347:AJ347)</f>
        <v>0</v>
      </c>
      <c r="AT346" s="8">
        <f>SUM(AK347:AK347)</f>
        <v>0</v>
      </c>
      <c r="AU346" s="8">
        <f>SUM(AL347:AL347)</f>
        <v>29180.75</v>
      </c>
    </row>
    <row r="347" spans="1:62">
      <c r="A347" s="1" t="s">
        <v>216</v>
      </c>
      <c r="B347" s="1" t="s">
        <v>659</v>
      </c>
      <c r="C347" s="1" t="s">
        <v>394</v>
      </c>
      <c r="D347" s="1" t="s">
        <v>608</v>
      </c>
      <c r="E347" s="1" t="s">
        <v>635</v>
      </c>
      <c r="F347" s="5">
        <f>'Rozpočet - vybrané sloupce'!AN277</f>
        <v>75.5</v>
      </c>
      <c r="G347" s="5">
        <f>'Rozpočet - vybrané sloupce'!AS277</f>
        <v>386.5</v>
      </c>
      <c r="H347" s="5">
        <f>F347*AO347</f>
        <v>19903.30999999999</v>
      </c>
      <c r="I347" s="5">
        <f>F347*AP347</f>
        <v>9277.4400000000096</v>
      </c>
      <c r="J347" s="5">
        <f>F347*G347</f>
        <v>29180.75</v>
      </c>
      <c r="K347" s="5">
        <v>0.22133</v>
      </c>
      <c r="L347" s="5">
        <f>F347*K347</f>
        <v>16.710415000000001</v>
      </c>
      <c r="M347" s="38" t="s">
        <v>653</v>
      </c>
      <c r="Z347" s="22">
        <f>IF(AQ347="5",BJ347,0)</f>
        <v>0</v>
      </c>
      <c r="AB347" s="22">
        <f>IF(AQ347="1",BH347,0)</f>
        <v>19903.30999999999</v>
      </c>
      <c r="AC347" s="22">
        <f>IF(AQ347="1",BI347,0)</f>
        <v>9277.4400000000096</v>
      </c>
      <c r="AD347" s="22">
        <f>IF(AQ347="7",BH347,0)</f>
        <v>0</v>
      </c>
      <c r="AE347" s="22">
        <f>IF(AQ347="7",BI347,0)</f>
        <v>0</v>
      </c>
      <c r="AF347" s="22">
        <f>IF(AQ347="2",BH347,0)</f>
        <v>0</v>
      </c>
      <c r="AG347" s="22">
        <f>IF(AQ347="2",BI347,0)</f>
        <v>0</v>
      </c>
      <c r="AH347" s="22">
        <f>IF(AQ347="0",BJ347,0)</f>
        <v>0</v>
      </c>
      <c r="AI347" s="34" t="s">
        <v>659</v>
      </c>
      <c r="AJ347" s="5">
        <f>IF(AN347=0,J347,0)</f>
        <v>0</v>
      </c>
      <c r="AK347" s="5">
        <f>IF(AN347=15,J347,0)</f>
        <v>0</v>
      </c>
      <c r="AL347" s="5">
        <f>IF(AN347=21,J347,0)</f>
        <v>29180.75</v>
      </c>
      <c r="AN347" s="22">
        <v>21</v>
      </c>
      <c r="AO347" s="22">
        <f>G347*0.682069857697283</f>
        <v>263.61999999999989</v>
      </c>
      <c r="AP347" s="22">
        <f>G347*(1-0.682069857697283)</f>
        <v>122.88000000000012</v>
      </c>
      <c r="AQ347" s="38" t="s">
        <v>7</v>
      </c>
      <c r="AV347" s="22">
        <f>AW347+AX347</f>
        <v>29180.75</v>
      </c>
      <c r="AW347" s="22">
        <f>F347*AO347</f>
        <v>19903.30999999999</v>
      </c>
      <c r="AX347" s="22">
        <f>F347*AP347</f>
        <v>9277.4400000000096</v>
      </c>
      <c r="AY347" s="77" t="s">
        <v>914</v>
      </c>
      <c r="AZ347" s="77" t="s">
        <v>933</v>
      </c>
      <c r="BA347" s="34" t="s">
        <v>935</v>
      </c>
      <c r="BC347" s="22">
        <f>AW347+AX347</f>
        <v>29180.75</v>
      </c>
      <c r="BD347" s="22">
        <f>G347/(100-BE347)*100</f>
        <v>386.5</v>
      </c>
      <c r="BE347" s="22">
        <v>0</v>
      </c>
      <c r="BF347" s="22">
        <f>L347</f>
        <v>16.710415000000001</v>
      </c>
      <c r="BH347" s="5">
        <f>F347*AO347</f>
        <v>19903.30999999999</v>
      </c>
      <c r="BI347" s="5">
        <f>F347*AP347</f>
        <v>9277.4400000000096</v>
      </c>
      <c r="BJ347" s="5">
        <f>F347*G347</f>
        <v>29180.75</v>
      </c>
    </row>
    <row r="348" spans="1:62">
      <c r="D348" s="3" t="s">
        <v>609</v>
      </c>
    </row>
    <row r="349" spans="1:62">
      <c r="A349" s="59"/>
      <c r="B349" s="28" t="s">
        <v>659</v>
      </c>
      <c r="C349" s="28" t="s">
        <v>398</v>
      </c>
      <c r="D349" s="28" t="s">
        <v>615</v>
      </c>
      <c r="E349" s="59" t="s">
        <v>6</v>
      </c>
      <c r="F349" s="59" t="s">
        <v>6</v>
      </c>
      <c r="G349" s="59" t="s">
        <v>6</v>
      </c>
      <c r="H349" s="8">
        <f>SUM(H350:H350)</f>
        <v>0</v>
      </c>
      <c r="I349" s="8">
        <f>SUM(I350:I350)</f>
        <v>26739.649104000004</v>
      </c>
      <c r="J349" s="8">
        <f>SUM(J350:J350)</f>
        <v>26739.649104000004</v>
      </c>
      <c r="K349" s="34"/>
      <c r="L349" s="8">
        <f>SUM(L350:L350)</f>
        <v>0</v>
      </c>
      <c r="M349" s="34"/>
      <c r="AI349" s="34" t="s">
        <v>659</v>
      </c>
      <c r="AS349" s="8">
        <f>SUM(AJ350:AJ350)</f>
        <v>0</v>
      </c>
      <c r="AT349" s="8">
        <f>SUM(AK350:AK350)</f>
        <v>0</v>
      </c>
      <c r="AU349" s="8">
        <f>SUM(AL350:AL350)</f>
        <v>26739.649104000004</v>
      </c>
    </row>
    <row r="350" spans="1:62">
      <c r="A350" s="1" t="s">
        <v>217</v>
      </c>
      <c r="B350" s="1" t="s">
        <v>659</v>
      </c>
      <c r="C350" s="1" t="s">
        <v>399</v>
      </c>
      <c r="D350" s="1" t="s">
        <v>616</v>
      </c>
      <c r="E350" s="1" t="s">
        <v>639</v>
      </c>
      <c r="F350" s="5">
        <f>'Rozpočet - vybrané sloupce'!AN280</f>
        <v>447.90032000000002</v>
      </c>
      <c r="G350" s="5">
        <f>'Rozpočet - vybrané sloupce'!AS280</f>
        <v>59.7</v>
      </c>
      <c r="H350" s="5">
        <f>F350*AO350</f>
        <v>0</v>
      </c>
      <c r="I350" s="5">
        <f>F350*AP350</f>
        <v>26739.649104000004</v>
      </c>
      <c r="J350" s="5">
        <f>F350*G350</f>
        <v>26739.649104000004</v>
      </c>
      <c r="K350" s="5">
        <v>0</v>
      </c>
      <c r="L350" s="5">
        <f>F350*K350</f>
        <v>0</v>
      </c>
      <c r="M350" s="38" t="s">
        <v>653</v>
      </c>
      <c r="Z350" s="22">
        <f>IF(AQ350="5",BJ350,0)</f>
        <v>26739.649104000004</v>
      </c>
      <c r="AB350" s="22">
        <f>IF(AQ350="1",BH350,0)</f>
        <v>0</v>
      </c>
      <c r="AC350" s="22">
        <f>IF(AQ350="1",BI350,0)</f>
        <v>0</v>
      </c>
      <c r="AD350" s="22">
        <f>IF(AQ350="7",BH350,0)</f>
        <v>0</v>
      </c>
      <c r="AE350" s="22">
        <f>IF(AQ350="7",BI350,0)</f>
        <v>0</v>
      </c>
      <c r="AF350" s="22">
        <f>IF(AQ350="2",BH350,0)</f>
        <v>0</v>
      </c>
      <c r="AG350" s="22">
        <f>IF(AQ350="2",BI350,0)</f>
        <v>0</v>
      </c>
      <c r="AH350" s="22">
        <f>IF(AQ350="0",BJ350,0)</f>
        <v>0</v>
      </c>
      <c r="AI350" s="34" t="s">
        <v>659</v>
      </c>
      <c r="AJ350" s="5">
        <f>IF(AN350=0,J350,0)</f>
        <v>0</v>
      </c>
      <c r="AK350" s="5">
        <f>IF(AN350=15,J350,0)</f>
        <v>0</v>
      </c>
      <c r="AL350" s="5">
        <f>IF(AN350=21,J350,0)</f>
        <v>26739.649104000004</v>
      </c>
      <c r="AN350" s="22">
        <v>21</v>
      </c>
      <c r="AO350" s="22">
        <f>G350*0</f>
        <v>0</v>
      </c>
      <c r="AP350" s="22">
        <f>G350*(1-0)</f>
        <v>59.7</v>
      </c>
      <c r="AQ350" s="38" t="s">
        <v>11</v>
      </c>
      <c r="AV350" s="22">
        <f>AW350+AX350</f>
        <v>26739.649104000004</v>
      </c>
      <c r="AW350" s="22">
        <f>F350*AO350</f>
        <v>0</v>
      </c>
      <c r="AX350" s="22">
        <f>F350*AP350</f>
        <v>26739.649104000004</v>
      </c>
      <c r="AY350" s="77" t="s">
        <v>916</v>
      </c>
      <c r="AZ350" s="77" t="s">
        <v>933</v>
      </c>
      <c r="BA350" s="34" t="s">
        <v>935</v>
      </c>
      <c r="BC350" s="22">
        <f>AW350+AX350</f>
        <v>26739.649104000004</v>
      </c>
      <c r="BD350" s="22">
        <f>G350/(100-BE350)*100</f>
        <v>59.699999999999996</v>
      </c>
      <c r="BE350" s="22">
        <v>0</v>
      </c>
      <c r="BF350" s="22">
        <f>L350</f>
        <v>0</v>
      </c>
      <c r="BH350" s="5">
        <f>F350*AO350</f>
        <v>0</v>
      </c>
      <c r="BI350" s="5">
        <f>F350*AP350</f>
        <v>26739.649104000004</v>
      </c>
      <c r="BJ350" s="5">
        <f>F350*G350</f>
        <v>26739.649104000004</v>
      </c>
    </row>
    <row r="351" spans="1:62">
      <c r="A351" s="59"/>
      <c r="B351" s="28" t="s">
        <v>659</v>
      </c>
      <c r="C351" s="28" t="s">
        <v>407</v>
      </c>
      <c r="D351" s="28" t="s">
        <v>626</v>
      </c>
      <c r="E351" s="59" t="s">
        <v>6</v>
      </c>
      <c r="F351" s="59" t="s">
        <v>6</v>
      </c>
      <c r="G351" s="59" t="s">
        <v>6</v>
      </c>
      <c r="H351" s="8">
        <f>SUM(H352:H352)</f>
        <v>201.34800000000004</v>
      </c>
      <c r="I351" s="8">
        <f>SUM(I352:I352)</f>
        <v>428.5019999999999</v>
      </c>
      <c r="J351" s="8">
        <f>SUM(J352:J352)</f>
        <v>629.84999999999991</v>
      </c>
      <c r="K351" s="34"/>
      <c r="L351" s="8">
        <f>SUM(L352:L352)</f>
        <v>5.3549999999999995E-3</v>
      </c>
      <c r="M351" s="34"/>
      <c r="AI351" s="34" t="s">
        <v>659</v>
      </c>
      <c r="AS351" s="8">
        <f>SUM(AJ352:AJ352)</f>
        <v>0</v>
      </c>
      <c r="AT351" s="8">
        <f>SUM(AK352:AK352)</f>
        <v>0</v>
      </c>
      <c r="AU351" s="8">
        <f>SUM(AL352:AL352)</f>
        <v>629.84999999999991</v>
      </c>
    </row>
    <row r="352" spans="1:62">
      <c r="A352" s="1" t="s">
        <v>218</v>
      </c>
      <c r="B352" s="1" t="s">
        <v>659</v>
      </c>
      <c r="C352" s="1" t="s">
        <v>408</v>
      </c>
      <c r="D352" s="1" t="s">
        <v>627</v>
      </c>
      <c r="E352" s="1" t="s">
        <v>635</v>
      </c>
      <c r="F352" s="5">
        <f>'Rozpočet - vybrané sloupce'!AN282</f>
        <v>5.0999999999999996</v>
      </c>
      <c r="G352" s="5">
        <f>'Rozpočet - vybrané sloupce'!AS282</f>
        <v>123.5</v>
      </c>
      <c r="H352" s="5">
        <f>F352*AO352</f>
        <v>201.34800000000004</v>
      </c>
      <c r="I352" s="5">
        <f>F352*AP352</f>
        <v>428.5019999999999</v>
      </c>
      <c r="J352" s="5">
        <f>F352*G352</f>
        <v>629.84999999999991</v>
      </c>
      <c r="K352" s="5">
        <v>1.0499999999999999E-3</v>
      </c>
      <c r="L352" s="5">
        <f>F352*K352</f>
        <v>5.3549999999999995E-3</v>
      </c>
      <c r="M352" s="38" t="s">
        <v>653</v>
      </c>
      <c r="Z352" s="22">
        <f>IF(AQ352="5",BJ352,0)</f>
        <v>0</v>
      </c>
      <c r="AB352" s="22">
        <f>IF(AQ352="1",BH352,0)</f>
        <v>0</v>
      </c>
      <c r="AC352" s="22">
        <f>IF(AQ352="1",BI352,0)</f>
        <v>0</v>
      </c>
      <c r="AD352" s="22">
        <f>IF(AQ352="7",BH352,0)</f>
        <v>0</v>
      </c>
      <c r="AE352" s="22">
        <f>IF(AQ352="7",BI352,0)</f>
        <v>0</v>
      </c>
      <c r="AF352" s="22">
        <f>IF(AQ352="2",BH352,0)</f>
        <v>201.34800000000004</v>
      </c>
      <c r="AG352" s="22">
        <f>IF(AQ352="2",BI352,0)</f>
        <v>428.5019999999999</v>
      </c>
      <c r="AH352" s="22">
        <f>IF(AQ352="0",BJ352,0)</f>
        <v>0</v>
      </c>
      <c r="AI352" s="34" t="s">
        <v>659</v>
      </c>
      <c r="AJ352" s="5">
        <f>IF(AN352=0,J352,0)</f>
        <v>0</v>
      </c>
      <c r="AK352" s="5">
        <f>IF(AN352=15,J352,0)</f>
        <v>0</v>
      </c>
      <c r="AL352" s="5">
        <f>IF(AN352=21,J352,0)</f>
        <v>629.84999999999991</v>
      </c>
      <c r="AN352" s="22">
        <v>21</v>
      </c>
      <c r="AO352" s="22">
        <f>G352*0.319676113360324</f>
        <v>39.480000000000011</v>
      </c>
      <c r="AP352" s="22">
        <f>G352*(1-0.319676113360324)</f>
        <v>84.019999999999982</v>
      </c>
      <c r="AQ352" s="38" t="s">
        <v>8</v>
      </c>
      <c r="AV352" s="22">
        <f>AW352+AX352</f>
        <v>629.84999999999991</v>
      </c>
      <c r="AW352" s="22">
        <f>F352*AO352</f>
        <v>201.34800000000004</v>
      </c>
      <c r="AX352" s="22">
        <f>F352*AP352</f>
        <v>428.5019999999999</v>
      </c>
      <c r="AY352" s="77" t="s">
        <v>918</v>
      </c>
      <c r="AZ352" s="77" t="s">
        <v>933</v>
      </c>
      <c r="BA352" s="34" t="s">
        <v>935</v>
      </c>
      <c r="BC352" s="22">
        <f>AW352+AX352</f>
        <v>629.84999999999991</v>
      </c>
      <c r="BD352" s="22">
        <f>G352/(100-BE352)*100</f>
        <v>123.50000000000001</v>
      </c>
      <c r="BE352" s="22">
        <v>0</v>
      </c>
      <c r="BF352" s="22">
        <f>L352</f>
        <v>5.3549999999999995E-3</v>
      </c>
      <c r="BH352" s="5">
        <f>F352*AO352</f>
        <v>201.34800000000004</v>
      </c>
      <c r="BI352" s="5">
        <f>F352*AP352</f>
        <v>428.5019999999999</v>
      </c>
      <c r="BJ352" s="5">
        <f>F352*G352</f>
        <v>629.84999999999991</v>
      </c>
    </row>
    <row r="353" spans="1:62">
      <c r="D353" s="3" t="s">
        <v>628</v>
      </c>
    </row>
    <row r="354" spans="1:62">
      <c r="A354" s="59"/>
      <c r="B354" s="28" t="s">
        <v>659</v>
      </c>
      <c r="C354" s="28" t="s">
        <v>400</v>
      </c>
      <c r="D354" s="28" t="s">
        <v>617</v>
      </c>
      <c r="E354" s="59" t="s">
        <v>6</v>
      </c>
      <c r="F354" s="59" t="s">
        <v>6</v>
      </c>
      <c r="G354" s="59" t="s">
        <v>6</v>
      </c>
      <c r="H354" s="8">
        <f>SUM(H355:H359)</f>
        <v>0</v>
      </c>
      <c r="I354" s="8">
        <f>SUM(I355:I359)</f>
        <v>343248.54031999997</v>
      </c>
      <c r="J354" s="8">
        <f>SUM(J355:J359)</f>
        <v>343248.54031999997</v>
      </c>
      <c r="K354" s="34"/>
      <c r="L354" s="8">
        <f>SUM(L355:L359)</f>
        <v>0</v>
      </c>
      <c r="M354" s="34"/>
      <c r="AI354" s="34" t="s">
        <v>659</v>
      </c>
      <c r="AS354" s="8">
        <f>SUM(AJ355:AJ359)</f>
        <v>0</v>
      </c>
      <c r="AT354" s="8">
        <f>SUM(AK355:AK359)</f>
        <v>0</v>
      </c>
      <c r="AU354" s="8">
        <f>SUM(AL355:AL359)</f>
        <v>343248.54031999997</v>
      </c>
    </row>
    <row r="355" spans="1:62">
      <c r="A355" s="1" t="s">
        <v>219</v>
      </c>
      <c r="B355" s="1" t="s">
        <v>659</v>
      </c>
      <c r="C355" s="1" t="s">
        <v>401</v>
      </c>
      <c r="D355" s="1" t="s">
        <v>618</v>
      </c>
      <c r="E355" s="1" t="s">
        <v>639</v>
      </c>
      <c r="F355" s="5">
        <f>'Rozpočet - vybrané sloupce'!AN285</f>
        <v>373.291</v>
      </c>
      <c r="G355" s="5">
        <f>'Rozpočet - vybrané sloupce'!AS285</f>
        <v>135.51</v>
      </c>
      <c r="H355" s="5">
        <f>F355*AO355</f>
        <v>0</v>
      </c>
      <c r="I355" s="5">
        <f>F355*AP355</f>
        <v>50584.663409999994</v>
      </c>
      <c r="J355" s="5">
        <f>F355*G355</f>
        <v>50584.663409999994</v>
      </c>
      <c r="K355" s="5">
        <v>0</v>
      </c>
      <c r="L355" s="5">
        <f>F355*K355</f>
        <v>0</v>
      </c>
      <c r="M355" s="38" t="s">
        <v>653</v>
      </c>
      <c r="Z355" s="22">
        <f>IF(AQ355="5",BJ355,0)</f>
        <v>50584.663409999994</v>
      </c>
      <c r="AB355" s="22">
        <f>IF(AQ355="1",BH355,0)</f>
        <v>0</v>
      </c>
      <c r="AC355" s="22">
        <f>IF(AQ355="1",BI355,0)</f>
        <v>0</v>
      </c>
      <c r="AD355" s="22">
        <f>IF(AQ355="7",BH355,0)</f>
        <v>0</v>
      </c>
      <c r="AE355" s="22">
        <f>IF(AQ355="7",BI355,0)</f>
        <v>0</v>
      </c>
      <c r="AF355" s="22">
        <f>IF(AQ355="2",BH355,0)</f>
        <v>0</v>
      </c>
      <c r="AG355" s="22">
        <f>IF(AQ355="2",BI355,0)</f>
        <v>0</v>
      </c>
      <c r="AH355" s="22">
        <f>IF(AQ355="0",BJ355,0)</f>
        <v>0</v>
      </c>
      <c r="AI355" s="34" t="s">
        <v>659</v>
      </c>
      <c r="AJ355" s="5">
        <f>IF(AN355=0,J355,0)</f>
        <v>0</v>
      </c>
      <c r="AK355" s="5">
        <f>IF(AN355=15,J355,0)</f>
        <v>0</v>
      </c>
      <c r="AL355" s="5">
        <f>IF(AN355=21,J355,0)</f>
        <v>50584.663409999994</v>
      </c>
      <c r="AN355" s="22">
        <v>21</v>
      </c>
      <c r="AO355" s="22">
        <f>G355*0</f>
        <v>0</v>
      </c>
      <c r="AP355" s="22">
        <f>G355*(1-0)</f>
        <v>135.51</v>
      </c>
      <c r="AQ355" s="38" t="s">
        <v>11</v>
      </c>
      <c r="AV355" s="22">
        <f>AW355+AX355</f>
        <v>50584.663409999994</v>
      </c>
      <c r="AW355" s="22">
        <f>F355*AO355</f>
        <v>0</v>
      </c>
      <c r="AX355" s="22">
        <f>F355*AP355</f>
        <v>50584.663409999994</v>
      </c>
      <c r="AY355" s="77" t="s">
        <v>917</v>
      </c>
      <c r="AZ355" s="77" t="s">
        <v>933</v>
      </c>
      <c r="BA355" s="34" t="s">
        <v>935</v>
      </c>
      <c r="BC355" s="22">
        <f>AW355+AX355</f>
        <v>50584.663409999994</v>
      </c>
      <c r="BD355" s="22">
        <f>G355/(100-BE355)*100</f>
        <v>135.51</v>
      </c>
      <c r="BE355" s="22">
        <v>0</v>
      </c>
      <c r="BF355" s="22">
        <f>L355</f>
        <v>0</v>
      </c>
      <c r="BH355" s="5">
        <f>F355*AO355</f>
        <v>0</v>
      </c>
      <c r="BI355" s="5">
        <f>F355*AP355</f>
        <v>50584.663409999994</v>
      </c>
      <c r="BJ355" s="5">
        <f>F355*G355</f>
        <v>50584.663409999994</v>
      </c>
    </row>
    <row r="356" spans="1:62">
      <c r="A356" s="1" t="s">
        <v>220</v>
      </c>
      <c r="B356" s="1" t="s">
        <v>659</v>
      </c>
      <c r="C356" s="1" t="s">
        <v>402</v>
      </c>
      <c r="D356" s="1" t="s">
        <v>619</v>
      </c>
      <c r="E356" s="1" t="s">
        <v>639</v>
      </c>
      <c r="F356" s="5">
        <f>'Rozpočet - vybrané sloupce'!AN286</f>
        <v>7465.82</v>
      </c>
      <c r="G356" s="5">
        <f>'Rozpočet - vybrané sloupce'!AS286</f>
        <v>23.69</v>
      </c>
      <c r="H356" s="5">
        <f>F356*AO356</f>
        <v>0</v>
      </c>
      <c r="I356" s="5">
        <f>F356*AP356</f>
        <v>176865.2758</v>
      </c>
      <c r="J356" s="5">
        <f>F356*G356</f>
        <v>176865.2758</v>
      </c>
      <c r="K356" s="5">
        <v>0</v>
      </c>
      <c r="L356" s="5">
        <f>F356*K356</f>
        <v>0</v>
      </c>
      <c r="M356" s="38" t="s">
        <v>653</v>
      </c>
      <c r="Z356" s="22">
        <f>IF(AQ356="5",BJ356,0)</f>
        <v>176865.2758</v>
      </c>
      <c r="AB356" s="22">
        <f>IF(AQ356="1",BH356,0)</f>
        <v>0</v>
      </c>
      <c r="AC356" s="22">
        <f>IF(AQ356="1",BI356,0)</f>
        <v>0</v>
      </c>
      <c r="AD356" s="22">
        <f>IF(AQ356="7",BH356,0)</f>
        <v>0</v>
      </c>
      <c r="AE356" s="22">
        <f>IF(AQ356="7",BI356,0)</f>
        <v>0</v>
      </c>
      <c r="AF356" s="22">
        <f>IF(AQ356="2",BH356,0)</f>
        <v>0</v>
      </c>
      <c r="AG356" s="22">
        <f>IF(AQ356="2",BI356,0)</f>
        <v>0</v>
      </c>
      <c r="AH356" s="22">
        <f>IF(AQ356="0",BJ356,0)</f>
        <v>0</v>
      </c>
      <c r="AI356" s="34" t="s">
        <v>659</v>
      </c>
      <c r="AJ356" s="5">
        <f>IF(AN356=0,J356,0)</f>
        <v>0</v>
      </c>
      <c r="AK356" s="5">
        <f>IF(AN356=15,J356,0)</f>
        <v>0</v>
      </c>
      <c r="AL356" s="5">
        <f>IF(AN356=21,J356,0)</f>
        <v>176865.2758</v>
      </c>
      <c r="AN356" s="22">
        <v>21</v>
      </c>
      <c r="AO356" s="22">
        <f>G356*0</f>
        <v>0</v>
      </c>
      <c r="AP356" s="22">
        <f>G356*(1-0)</f>
        <v>23.69</v>
      </c>
      <c r="AQ356" s="38" t="s">
        <v>11</v>
      </c>
      <c r="AV356" s="22">
        <f>AW356+AX356</f>
        <v>176865.2758</v>
      </c>
      <c r="AW356" s="22">
        <f>F356*AO356</f>
        <v>0</v>
      </c>
      <c r="AX356" s="22">
        <f>F356*AP356</f>
        <v>176865.2758</v>
      </c>
      <c r="AY356" s="77" t="s">
        <v>917</v>
      </c>
      <c r="AZ356" s="77" t="s">
        <v>933</v>
      </c>
      <c r="BA356" s="34" t="s">
        <v>935</v>
      </c>
      <c r="BC356" s="22">
        <f>AW356+AX356</f>
        <v>176865.2758</v>
      </c>
      <c r="BD356" s="22">
        <f>G356/(100-BE356)*100</f>
        <v>23.69</v>
      </c>
      <c r="BE356" s="22">
        <v>0</v>
      </c>
      <c r="BF356" s="22">
        <f>L356</f>
        <v>0</v>
      </c>
      <c r="BH356" s="5">
        <f>F356*AO356</f>
        <v>0</v>
      </c>
      <c r="BI356" s="5">
        <f>F356*AP356</f>
        <v>176865.2758</v>
      </c>
      <c r="BJ356" s="5">
        <f>F356*G356</f>
        <v>176865.2758</v>
      </c>
    </row>
    <row r="357" spans="1:62">
      <c r="A357" s="1" t="s">
        <v>221</v>
      </c>
      <c r="B357" s="1" t="s">
        <v>659</v>
      </c>
      <c r="C357" s="1" t="s">
        <v>403</v>
      </c>
      <c r="D357" s="1" t="s">
        <v>620</v>
      </c>
      <c r="E357" s="1" t="s">
        <v>639</v>
      </c>
      <c r="F357" s="5">
        <f>'Rozpočet - vybrané sloupce'!AN287</f>
        <v>373.291</v>
      </c>
      <c r="G357" s="5">
        <f>'Rozpočet - vybrané sloupce'!AS287</f>
        <v>10.210000000000001</v>
      </c>
      <c r="H357" s="5">
        <f>F357*AO357</f>
        <v>0</v>
      </c>
      <c r="I357" s="5">
        <f>F357*AP357</f>
        <v>3811.3011100000003</v>
      </c>
      <c r="J357" s="5">
        <f>F357*G357</f>
        <v>3811.3011100000003</v>
      </c>
      <c r="K357" s="5">
        <v>0</v>
      </c>
      <c r="L357" s="5">
        <f>F357*K357</f>
        <v>0</v>
      </c>
      <c r="M357" s="38" t="s">
        <v>653</v>
      </c>
      <c r="Z357" s="22">
        <f>IF(AQ357="5",BJ357,0)</f>
        <v>3811.3011100000003</v>
      </c>
      <c r="AB357" s="22">
        <f>IF(AQ357="1",BH357,0)</f>
        <v>0</v>
      </c>
      <c r="AC357" s="22">
        <f>IF(AQ357="1",BI357,0)</f>
        <v>0</v>
      </c>
      <c r="AD357" s="22">
        <f>IF(AQ357="7",BH357,0)</f>
        <v>0</v>
      </c>
      <c r="AE357" s="22">
        <f>IF(AQ357="7",BI357,0)</f>
        <v>0</v>
      </c>
      <c r="AF357" s="22">
        <f>IF(AQ357="2",BH357,0)</f>
        <v>0</v>
      </c>
      <c r="AG357" s="22">
        <f>IF(AQ357="2",BI357,0)</f>
        <v>0</v>
      </c>
      <c r="AH357" s="22">
        <f>IF(AQ357="0",BJ357,0)</f>
        <v>0</v>
      </c>
      <c r="AI357" s="34" t="s">
        <v>659</v>
      </c>
      <c r="AJ357" s="5">
        <f>IF(AN357=0,J357,0)</f>
        <v>0</v>
      </c>
      <c r="AK357" s="5">
        <f>IF(AN357=15,J357,0)</f>
        <v>0</v>
      </c>
      <c r="AL357" s="5">
        <f>IF(AN357=21,J357,0)</f>
        <v>3811.3011100000003</v>
      </c>
      <c r="AN357" s="22">
        <v>21</v>
      </c>
      <c r="AO357" s="22">
        <f>G357*0</f>
        <v>0</v>
      </c>
      <c r="AP357" s="22">
        <f>G357*(1-0)</f>
        <v>10.210000000000001</v>
      </c>
      <c r="AQ357" s="38" t="s">
        <v>11</v>
      </c>
      <c r="AV357" s="22">
        <f>AW357+AX357</f>
        <v>3811.3011100000003</v>
      </c>
      <c r="AW357" s="22">
        <f>F357*AO357</f>
        <v>0</v>
      </c>
      <c r="AX357" s="22">
        <f>F357*AP357</f>
        <v>3811.3011100000003</v>
      </c>
      <c r="AY357" s="77" t="s">
        <v>917</v>
      </c>
      <c r="AZ357" s="77" t="s">
        <v>933</v>
      </c>
      <c r="BA357" s="34" t="s">
        <v>935</v>
      </c>
      <c r="BC357" s="22">
        <f>AW357+AX357</f>
        <v>3811.3011100000003</v>
      </c>
      <c r="BD357" s="22">
        <f>G357/(100-BE357)*100</f>
        <v>10.210000000000001</v>
      </c>
      <c r="BE357" s="22">
        <v>0</v>
      </c>
      <c r="BF357" s="22">
        <f>L357</f>
        <v>0</v>
      </c>
      <c r="BH357" s="5">
        <f>F357*AO357</f>
        <v>0</v>
      </c>
      <c r="BI357" s="5">
        <f>F357*AP357</f>
        <v>3811.3011100000003</v>
      </c>
      <c r="BJ357" s="5">
        <f>F357*G357</f>
        <v>3811.3011100000003</v>
      </c>
    </row>
    <row r="358" spans="1:62">
      <c r="C358" s="67" t="s">
        <v>672</v>
      </c>
      <c r="D358" s="167" t="s">
        <v>820</v>
      </c>
      <c r="E358" s="168"/>
      <c r="F358" s="168"/>
      <c r="G358" s="168"/>
      <c r="H358" s="168"/>
      <c r="I358" s="168"/>
      <c r="J358" s="168"/>
      <c r="K358" s="168"/>
      <c r="L358" s="168"/>
      <c r="M358" s="168"/>
    </row>
    <row r="359" spans="1:62">
      <c r="A359" s="61" t="s">
        <v>222</v>
      </c>
      <c r="B359" s="61" t="s">
        <v>659</v>
      </c>
      <c r="C359" s="61" t="s">
        <v>404</v>
      </c>
      <c r="D359" s="61" t="s">
        <v>621</v>
      </c>
      <c r="E359" s="61" t="s">
        <v>639</v>
      </c>
      <c r="F359" s="73">
        <f>'Rozpočet - vybrané sloupce'!AN288</f>
        <v>373.291</v>
      </c>
      <c r="G359" s="73">
        <f>'Rozpočet - vybrané sloupce'!AS288</f>
        <v>300</v>
      </c>
      <c r="H359" s="73">
        <f>F359*AO359</f>
        <v>0</v>
      </c>
      <c r="I359" s="73">
        <f>F359*AP359</f>
        <v>111987.3</v>
      </c>
      <c r="J359" s="73">
        <f>F359*G359</f>
        <v>111987.3</v>
      </c>
      <c r="K359" s="73">
        <v>0</v>
      </c>
      <c r="L359" s="73">
        <f>F359*K359</f>
        <v>0</v>
      </c>
      <c r="M359" s="76" t="s">
        <v>654</v>
      </c>
      <c r="Z359" s="22">
        <f>IF(AQ359="5",BJ359,0)</f>
        <v>111987.3</v>
      </c>
      <c r="AB359" s="22">
        <f>IF(AQ359="1",BH359,0)</f>
        <v>0</v>
      </c>
      <c r="AC359" s="22">
        <f>IF(AQ359="1",BI359,0)</f>
        <v>0</v>
      </c>
      <c r="AD359" s="22">
        <f>IF(AQ359="7",BH359,0)</f>
        <v>0</v>
      </c>
      <c r="AE359" s="22">
        <f>IF(AQ359="7",BI359,0)</f>
        <v>0</v>
      </c>
      <c r="AF359" s="22">
        <f>IF(AQ359="2",BH359,0)</f>
        <v>0</v>
      </c>
      <c r="AG359" s="22">
        <f>IF(AQ359="2",BI359,0)</f>
        <v>0</v>
      </c>
      <c r="AH359" s="22">
        <f>IF(AQ359="0",BJ359,0)</f>
        <v>0</v>
      </c>
      <c r="AI359" s="34" t="s">
        <v>659</v>
      </c>
      <c r="AJ359" s="5">
        <f>IF(AN359=0,J359,0)</f>
        <v>0</v>
      </c>
      <c r="AK359" s="5">
        <f>IF(AN359=15,J359,0)</f>
        <v>0</v>
      </c>
      <c r="AL359" s="5">
        <f>IF(AN359=21,J359,0)</f>
        <v>111987.3</v>
      </c>
      <c r="AN359" s="22">
        <v>21</v>
      </c>
      <c r="AO359" s="22">
        <f>G359*0</f>
        <v>0</v>
      </c>
      <c r="AP359" s="22">
        <f>G359*(1-0)</f>
        <v>300</v>
      </c>
      <c r="AQ359" s="38" t="s">
        <v>11</v>
      </c>
      <c r="AV359" s="22">
        <f>AW359+AX359</f>
        <v>111987.3</v>
      </c>
      <c r="AW359" s="22">
        <f>F359*AO359</f>
        <v>0</v>
      </c>
      <c r="AX359" s="22">
        <f>F359*AP359</f>
        <v>111987.3</v>
      </c>
      <c r="AY359" s="77" t="s">
        <v>917</v>
      </c>
      <c r="AZ359" s="77" t="s">
        <v>933</v>
      </c>
      <c r="BA359" s="34" t="s">
        <v>935</v>
      </c>
      <c r="BC359" s="22">
        <f>AW359+AX359</f>
        <v>111987.3</v>
      </c>
      <c r="BD359" s="22">
        <f>G359/(100-BE359)*100</f>
        <v>300</v>
      </c>
      <c r="BE359" s="22">
        <v>0</v>
      </c>
      <c r="BF359" s="22">
        <f>L359</f>
        <v>0</v>
      </c>
      <c r="BH359" s="5">
        <f>F359*AO359</f>
        <v>0</v>
      </c>
      <c r="BI359" s="5">
        <f>F359*AP359</f>
        <v>111987.3</v>
      </c>
      <c r="BJ359" s="5">
        <f>F359*G359</f>
        <v>111987.3</v>
      </c>
    </row>
    <row r="360" spans="1:62">
      <c r="A360" s="15"/>
      <c r="B360" s="15"/>
      <c r="C360" s="15"/>
      <c r="D360" s="15"/>
      <c r="E360" s="15"/>
      <c r="F360" s="15"/>
      <c r="G360" s="15"/>
      <c r="H360" s="131" t="s">
        <v>646</v>
      </c>
      <c r="I360" s="116"/>
      <c r="J360" s="25">
        <f>J13+J28+J37+J46+J51+J58+J64+J67+J136+J143+J145+J147+J158+J165+J180+J183+J190+J207+J219+J229+J253+J258+J263+J270+J274+J276+J283+J297+J302+J311+J315+J318+J322+J334+J339+J346+J349+J351+J354</f>
        <v>5122828.2270985004</v>
      </c>
      <c r="K360" s="15"/>
      <c r="L360" s="15"/>
      <c r="M360" s="15"/>
    </row>
    <row r="361" spans="1:62" ht="11.25" customHeight="1">
      <c r="A361" s="16" t="s">
        <v>660</v>
      </c>
    </row>
    <row r="362" spans="1:62" ht="38.450000000000003" customHeight="1">
      <c r="A362" s="81" t="s">
        <v>661</v>
      </c>
      <c r="B362" s="82"/>
      <c r="C362" s="82"/>
      <c r="D362" s="82"/>
      <c r="E362" s="82"/>
      <c r="F362" s="82"/>
      <c r="G362" s="82"/>
      <c r="H362" s="82"/>
      <c r="I362" s="82"/>
      <c r="J362" s="82"/>
      <c r="K362" s="82"/>
      <c r="L362" s="82"/>
      <c r="M362" s="82"/>
    </row>
  </sheetData>
  <mergeCells count="99">
    <mergeCell ref="A1:M1"/>
    <mergeCell ref="A2:C3"/>
    <mergeCell ref="D2:D3"/>
    <mergeCell ref="E2:F3"/>
    <mergeCell ref="G2:G3"/>
    <mergeCell ref="H2:H3"/>
    <mergeCell ref="I2:M3"/>
    <mergeCell ref="I6:M7"/>
    <mergeCell ref="A4:C5"/>
    <mergeCell ref="D4:D5"/>
    <mergeCell ref="E4:F5"/>
    <mergeCell ref="G4:G5"/>
    <mergeCell ref="H4:H5"/>
    <mergeCell ref="I4:M5"/>
    <mergeCell ref="A6:C7"/>
    <mergeCell ref="D6:D7"/>
    <mergeCell ref="E6:F7"/>
    <mergeCell ref="G6:G7"/>
    <mergeCell ref="H6:H7"/>
    <mergeCell ref="D23:M23"/>
    <mergeCell ref="A8:C9"/>
    <mergeCell ref="D8:D9"/>
    <mergeCell ref="E8:F9"/>
    <mergeCell ref="G8:G9"/>
    <mergeCell ref="H8:H9"/>
    <mergeCell ref="I8:M9"/>
    <mergeCell ref="H10:J10"/>
    <mergeCell ref="K10:L10"/>
    <mergeCell ref="D15:M15"/>
    <mergeCell ref="D19:M19"/>
    <mergeCell ref="D21:M21"/>
    <mergeCell ref="D69:M69"/>
    <mergeCell ref="D32:M32"/>
    <mergeCell ref="D34:M34"/>
    <mergeCell ref="D39:M39"/>
    <mergeCell ref="D40:M40"/>
    <mergeCell ref="D41:M41"/>
    <mergeCell ref="D42:M42"/>
    <mergeCell ref="D45:M45"/>
    <mergeCell ref="D48:M48"/>
    <mergeCell ref="D50:M50"/>
    <mergeCell ref="D61:M61"/>
    <mergeCell ref="D66:M66"/>
    <mergeCell ref="D182:M182"/>
    <mergeCell ref="D73:M73"/>
    <mergeCell ref="D76:M76"/>
    <mergeCell ref="D78:M78"/>
    <mergeCell ref="D138:M138"/>
    <mergeCell ref="D142:M142"/>
    <mergeCell ref="D157:M157"/>
    <mergeCell ref="D167:M167"/>
    <mergeCell ref="D171:M171"/>
    <mergeCell ref="D173:M173"/>
    <mergeCell ref="D178:M178"/>
    <mergeCell ref="D179:M179"/>
    <mergeCell ref="D227:M227"/>
    <mergeCell ref="D188:M188"/>
    <mergeCell ref="D194:M194"/>
    <mergeCell ref="D196:M196"/>
    <mergeCell ref="D198:M198"/>
    <mergeCell ref="D201:M201"/>
    <mergeCell ref="D203:M203"/>
    <mergeCell ref="D205:M205"/>
    <mergeCell ref="D214:M214"/>
    <mergeCell ref="D217:M217"/>
    <mergeCell ref="D221:M221"/>
    <mergeCell ref="D224:M224"/>
    <mergeCell ref="D273:M273"/>
    <mergeCell ref="D231:M231"/>
    <mergeCell ref="D233:M233"/>
    <mergeCell ref="D235:M235"/>
    <mergeCell ref="D241:M241"/>
    <mergeCell ref="D244:M244"/>
    <mergeCell ref="D247:M247"/>
    <mergeCell ref="D251:M251"/>
    <mergeCell ref="D255:M255"/>
    <mergeCell ref="D262:M262"/>
    <mergeCell ref="D267:M267"/>
    <mergeCell ref="D269:M269"/>
    <mergeCell ref="D314:M314"/>
    <mergeCell ref="D280:M280"/>
    <mergeCell ref="D285:M285"/>
    <mergeCell ref="D289:M289"/>
    <mergeCell ref="D291:M291"/>
    <mergeCell ref="D293:M293"/>
    <mergeCell ref="D301:M301"/>
    <mergeCell ref="D304:M304"/>
    <mergeCell ref="D305:M305"/>
    <mergeCell ref="D306:M306"/>
    <mergeCell ref="D307:M307"/>
    <mergeCell ref="D310:M310"/>
    <mergeCell ref="H360:I360"/>
    <mergeCell ref="A362:M362"/>
    <mergeCell ref="D320:M320"/>
    <mergeCell ref="D324:M324"/>
    <mergeCell ref="D326:M326"/>
    <mergeCell ref="D328:M328"/>
    <mergeCell ref="D332:M332"/>
    <mergeCell ref="D358:M358"/>
  </mergeCells>
  <pageMargins left="0.39400000000000002" right="0.39400000000000002" top="0.59099999999999997" bottom="0.59099999999999997" header="0.5" footer="0.5"/>
  <pageSetup paperSize="9" scale="42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Krycí list rozpočtu</vt:lpstr>
      <vt:lpstr>Rozpočet - Jen objekty celkem</vt:lpstr>
      <vt:lpstr>Rozpočet - Jen podskupiny</vt:lpstr>
      <vt:lpstr>Rozpočet - vybrané sloupce</vt:lpstr>
      <vt:lpstr>Výkaz výměr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Beck</dc:creator>
  <cp:lastModifiedBy>Kamil Beck</cp:lastModifiedBy>
  <cp:lastPrinted>2019-09-05T07:08:14Z</cp:lastPrinted>
  <dcterms:created xsi:type="dcterms:W3CDTF">2019-09-05T07:07:19Z</dcterms:created>
  <dcterms:modified xsi:type="dcterms:W3CDTF">2019-09-05T07:17:33Z</dcterms:modified>
</cp:coreProperties>
</file>