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5e7f18f079a765f/zakázky/Město Albrechtice/13 Okolí ZŠ/01 ZD/01_3 PD/PD revitalizace zeleně u ZŠ/Výkaz výměr/"/>
    </mc:Choice>
  </mc:AlternateContent>
  <xr:revisionPtr revIDLastSave="0" documentId="10_ncr:8000_{C140994B-22B5-4B44-A04C-4F4CB7BB1FC1}" xr6:coauthVersionLast="47" xr6:coauthVersionMax="47" xr10:uidLastSave="{00000000-0000-0000-0000-000000000000}"/>
  <workbookProtection workbookPassword="C4B7" lockStructure="1"/>
  <bookViews>
    <workbookView xWindow="-120" yWindow="-120" windowWidth="29040" windowHeight="17520" activeTab="3" xr2:uid="{00000000-000D-0000-FFFF-FFFF00000000}"/>
  </bookViews>
  <sheets>
    <sheet name="Rozpočet - Jen podskupiny" sheetId="1" r:id="rId1"/>
    <sheet name="Rozpočet - Jen objekty celkem" sheetId="2" r:id="rId2"/>
    <sheet name="Výkaz výměr" sheetId="3" r:id="rId3"/>
    <sheet name="Krycí list rozpočtu" sheetId="4" r:id="rId4"/>
    <sheet name="Stavební rozpočet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4" l="1"/>
  <c r="F2" i="4"/>
  <c r="C4" i="4"/>
  <c r="F4" i="4"/>
  <c r="C6" i="4"/>
  <c r="F6" i="4"/>
  <c r="C8" i="4"/>
  <c r="F8" i="4"/>
  <c r="C10" i="4"/>
  <c r="F10" i="4"/>
  <c r="I10" i="4"/>
  <c r="F22" i="4"/>
  <c r="I22" i="4"/>
  <c r="D2" i="2"/>
  <c r="G2" i="2"/>
  <c r="J2" i="2"/>
  <c r="D4" i="2"/>
  <c r="G4" i="2"/>
  <c r="J4" i="2"/>
  <c r="D6" i="2"/>
  <c r="G6" i="2"/>
  <c r="J6" i="2"/>
  <c r="D8" i="2"/>
  <c r="G8" i="2"/>
  <c r="J8" i="2"/>
  <c r="N12" i="2"/>
  <c r="N13" i="2"/>
  <c r="D2" i="1"/>
  <c r="G2" i="1"/>
  <c r="J2" i="1"/>
  <c r="D4" i="1"/>
  <c r="G4" i="1"/>
  <c r="J4" i="1"/>
  <c r="D6" i="1"/>
  <c r="G6" i="1"/>
  <c r="J6" i="1"/>
  <c r="D8" i="1"/>
  <c r="G8" i="1"/>
  <c r="J8" i="1"/>
  <c r="N12" i="1"/>
  <c r="P13" i="1"/>
  <c r="P14" i="1"/>
  <c r="P15" i="1"/>
  <c r="L16" i="1"/>
  <c r="N16" i="1" s="1"/>
  <c r="P16" i="1"/>
  <c r="L17" i="1"/>
  <c r="N17" i="1" s="1"/>
  <c r="P17" i="1"/>
  <c r="P18" i="1"/>
  <c r="P19" i="1"/>
  <c r="P20" i="1"/>
  <c r="P21" i="1"/>
  <c r="N22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N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L13" i="5"/>
  <c r="AS13" i="5"/>
  <c r="AT13" i="5"/>
  <c r="L14" i="5"/>
  <c r="Z14" i="5"/>
  <c r="AB14" i="5"/>
  <c r="AC14" i="5"/>
  <c r="AD14" i="5"/>
  <c r="AE14" i="5"/>
  <c r="AF14" i="5"/>
  <c r="AG14" i="5"/>
  <c r="AH14" i="5"/>
  <c r="AJ14" i="5"/>
  <c r="AK14" i="5"/>
  <c r="AL14" i="5"/>
  <c r="AO14" i="5"/>
  <c r="AP14" i="5"/>
  <c r="AV14" i="5"/>
  <c r="AW14" i="5"/>
  <c r="AX14" i="5"/>
  <c r="BC14" i="5"/>
  <c r="BD14" i="5"/>
  <c r="BF14" i="5"/>
  <c r="BH14" i="5"/>
  <c r="BI14" i="5"/>
  <c r="BJ14" i="5"/>
  <c r="L16" i="5"/>
  <c r="Z16" i="5"/>
  <c r="AB16" i="5"/>
  <c r="AC16" i="5"/>
  <c r="AD16" i="5"/>
  <c r="AE16" i="5"/>
  <c r="AF16" i="5"/>
  <c r="AG16" i="5"/>
  <c r="AH16" i="5"/>
  <c r="AJ16" i="5"/>
  <c r="AK16" i="5"/>
  <c r="AL16" i="5"/>
  <c r="AO16" i="5"/>
  <c r="AP16" i="5"/>
  <c r="AW16" i="5"/>
  <c r="AV16" i="5" s="1"/>
  <c r="AX16" i="5"/>
  <c r="BC16" i="5"/>
  <c r="BD16" i="5"/>
  <c r="BF16" i="5"/>
  <c r="BH16" i="5"/>
  <c r="BI16" i="5"/>
  <c r="BJ16" i="5"/>
  <c r="L17" i="5"/>
  <c r="Z17" i="5"/>
  <c r="AB17" i="5"/>
  <c r="AC17" i="5"/>
  <c r="AD17" i="5"/>
  <c r="AE17" i="5"/>
  <c r="AF17" i="5"/>
  <c r="AG17" i="5"/>
  <c r="AH17" i="5"/>
  <c r="AJ17" i="5"/>
  <c r="AK17" i="5"/>
  <c r="AL17" i="5"/>
  <c r="AO17" i="5"/>
  <c r="AP17" i="5"/>
  <c r="AV17" i="5"/>
  <c r="AW17" i="5"/>
  <c r="AX17" i="5"/>
  <c r="BC17" i="5" s="1"/>
  <c r="BD17" i="5"/>
  <c r="BF17" i="5"/>
  <c r="BH17" i="5"/>
  <c r="BI17" i="5"/>
  <c r="BJ17" i="5"/>
  <c r="L18" i="5"/>
  <c r="Z18" i="5"/>
  <c r="AB18" i="5"/>
  <c r="AC18" i="5"/>
  <c r="AD18" i="5"/>
  <c r="AE18" i="5"/>
  <c r="AF18" i="5"/>
  <c r="AG18" i="5"/>
  <c r="AH18" i="5"/>
  <c r="AJ18" i="5"/>
  <c r="AK18" i="5"/>
  <c r="AL18" i="5"/>
  <c r="AO18" i="5"/>
  <c r="AP18" i="5"/>
  <c r="AW18" i="5"/>
  <c r="AV18" i="5" s="1"/>
  <c r="AX18" i="5"/>
  <c r="BC18" i="5"/>
  <c r="BD18" i="5"/>
  <c r="BF18" i="5"/>
  <c r="BH18" i="5"/>
  <c r="BI18" i="5"/>
  <c r="BJ18" i="5"/>
  <c r="L20" i="5"/>
  <c r="Z20" i="5"/>
  <c r="AB20" i="5"/>
  <c r="AC20" i="5"/>
  <c r="AD20" i="5"/>
  <c r="AE20" i="5"/>
  <c r="AF20" i="5"/>
  <c r="AG20" i="5"/>
  <c r="AH20" i="5"/>
  <c r="AJ20" i="5"/>
  <c r="AK20" i="5"/>
  <c r="AL20" i="5"/>
  <c r="AO20" i="5"/>
  <c r="AP20" i="5"/>
  <c r="AW20" i="5"/>
  <c r="AX20" i="5"/>
  <c r="BD20" i="5"/>
  <c r="BF20" i="5"/>
  <c r="BH20" i="5"/>
  <c r="BI20" i="5"/>
  <c r="BJ20" i="5"/>
  <c r="L22" i="5"/>
  <c r="Z22" i="5"/>
  <c r="AC22" i="5"/>
  <c r="AD22" i="5"/>
  <c r="AE22" i="5"/>
  <c r="AF22" i="5"/>
  <c r="AG22" i="5"/>
  <c r="AH22" i="5"/>
  <c r="AJ22" i="5"/>
  <c r="AK22" i="5"/>
  <c r="AL22" i="5"/>
  <c r="AO22" i="5"/>
  <c r="AW22" i="5" s="1"/>
  <c r="AV22" i="5" s="1"/>
  <c r="AP22" i="5"/>
  <c r="AX22" i="5"/>
  <c r="BC22" i="5"/>
  <c r="BD22" i="5"/>
  <c r="BF22" i="5"/>
  <c r="BH22" i="5"/>
  <c r="AB22" i="5" s="1"/>
  <c r="BI22" i="5"/>
  <c r="BJ22" i="5"/>
  <c r="L24" i="5"/>
  <c r="Z24" i="5"/>
  <c r="AD24" i="5"/>
  <c r="AE24" i="5"/>
  <c r="AF24" i="5"/>
  <c r="AG24" i="5"/>
  <c r="AH24" i="5"/>
  <c r="AJ24" i="5"/>
  <c r="AK24" i="5"/>
  <c r="AL24" i="5"/>
  <c r="AO24" i="5"/>
  <c r="AW24" i="5" s="1"/>
  <c r="AP24" i="5"/>
  <c r="BD24" i="5"/>
  <c r="BF24" i="5"/>
  <c r="BH24" i="5"/>
  <c r="AB24" i="5" s="1"/>
  <c r="BJ24" i="5"/>
  <c r="L25" i="5"/>
  <c r="Z25" i="5"/>
  <c r="AB25" i="5"/>
  <c r="AD25" i="5"/>
  <c r="AE25" i="5"/>
  <c r="AF25" i="5"/>
  <c r="AG25" i="5"/>
  <c r="AH25" i="5"/>
  <c r="AJ25" i="5"/>
  <c r="AK25" i="5"/>
  <c r="AL25" i="5"/>
  <c r="AO25" i="5"/>
  <c r="AP25" i="5"/>
  <c r="AW25" i="5"/>
  <c r="BD25" i="5"/>
  <c r="BF25" i="5"/>
  <c r="BH25" i="5"/>
  <c r="BJ25" i="5"/>
  <c r="L26" i="5"/>
  <c r="Z26" i="5"/>
  <c r="AC26" i="5"/>
  <c r="AD26" i="5"/>
  <c r="AE26" i="5"/>
  <c r="AF26" i="5"/>
  <c r="AG26" i="5"/>
  <c r="AH26" i="5"/>
  <c r="AJ26" i="5"/>
  <c r="AK26" i="5"/>
  <c r="AL26" i="5"/>
  <c r="AO26" i="5"/>
  <c r="AP26" i="5"/>
  <c r="AV26" i="5"/>
  <c r="AW26" i="5"/>
  <c r="BC26" i="5" s="1"/>
  <c r="AX26" i="5"/>
  <c r="BD26" i="5"/>
  <c r="BF26" i="5"/>
  <c r="BH26" i="5"/>
  <c r="AB26" i="5" s="1"/>
  <c r="BI26" i="5"/>
  <c r="BJ26" i="5"/>
  <c r="L27" i="5"/>
  <c r="AL27" i="5" s="1"/>
  <c r="AU13" i="5" s="1"/>
  <c r="Z27" i="5"/>
  <c r="AD27" i="5"/>
  <c r="AE27" i="5"/>
  <c r="AF27" i="5"/>
  <c r="AG27" i="5"/>
  <c r="AH27" i="5"/>
  <c r="AJ27" i="5"/>
  <c r="AK27" i="5"/>
  <c r="AO27" i="5"/>
  <c r="AP27" i="5"/>
  <c r="AW27" i="5"/>
  <c r="AX27" i="5"/>
  <c r="BD27" i="5"/>
  <c r="BF27" i="5"/>
  <c r="BH27" i="5"/>
  <c r="AB27" i="5" s="1"/>
  <c r="BI27" i="5"/>
  <c r="AC27" i="5" s="1"/>
  <c r="BJ27" i="5"/>
  <c r="L29" i="5"/>
  <c r="Z29" i="5"/>
  <c r="AD29" i="5"/>
  <c r="AE29" i="5"/>
  <c r="AF29" i="5"/>
  <c r="AG29" i="5"/>
  <c r="AH29" i="5"/>
  <c r="AJ29" i="5"/>
  <c r="AK29" i="5"/>
  <c r="AT28" i="5" s="1"/>
  <c r="AL29" i="5"/>
  <c r="AO29" i="5"/>
  <c r="AW29" i="5" s="1"/>
  <c r="BC29" i="5" s="1"/>
  <c r="AP29" i="5"/>
  <c r="AX29" i="5" s="1"/>
  <c r="AV29" i="5"/>
  <c r="BD29" i="5"/>
  <c r="BF29" i="5"/>
  <c r="BI29" i="5"/>
  <c r="AC29" i="5" s="1"/>
  <c r="BJ29" i="5"/>
  <c r="L30" i="5"/>
  <c r="Z30" i="5"/>
  <c r="AB30" i="5"/>
  <c r="AD30" i="5"/>
  <c r="AE30" i="5"/>
  <c r="AF30" i="5"/>
  <c r="AG30" i="5"/>
  <c r="AH30" i="5"/>
  <c r="AJ30" i="5"/>
  <c r="AK30" i="5"/>
  <c r="AL30" i="5"/>
  <c r="AO30" i="5"/>
  <c r="AP30" i="5"/>
  <c r="AX30" i="5" s="1"/>
  <c r="BC30" i="5" s="1"/>
  <c r="AV30" i="5"/>
  <c r="AW30" i="5"/>
  <c r="BD30" i="5"/>
  <c r="BF30" i="5"/>
  <c r="BH30" i="5"/>
  <c r="BI30" i="5"/>
  <c r="AC30" i="5" s="1"/>
  <c r="BJ30" i="5"/>
  <c r="L31" i="5"/>
  <c r="Z31" i="5"/>
  <c r="AC31" i="5"/>
  <c r="AD31" i="5"/>
  <c r="AE31" i="5"/>
  <c r="AF31" i="5"/>
  <c r="AG31" i="5"/>
  <c r="AH31" i="5"/>
  <c r="AJ31" i="5"/>
  <c r="AK31" i="5"/>
  <c r="AL31" i="5"/>
  <c r="AO31" i="5"/>
  <c r="AP31" i="5"/>
  <c r="AW31" i="5"/>
  <c r="BC31" i="5" s="1"/>
  <c r="AX31" i="5"/>
  <c r="BD31" i="5"/>
  <c r="BF31" i="5"/>
  <c r="BH31" i="5"/>
  <c r="AB31" i="5" s="1"/>
  <c r="BI31" i="5"/>
  <c r="BJ31" i="5"/>
  <c r="L33" i="5"/>
  <c r="Z33" i="5"/>
  <c r="AD33" i="5"/>
  <c r="AE33" i="5"/>
  <c r="AF33" i="5"/>
  <c r="AG33" i="5"/>
  <c r="AH33" i="5"/>
  <c r="AJ33" i="5"/>
  <c r="AK33" i="5"/>
  <c r="AO33" i="5"/>
  <c r="AP33" i="5"/>
  <c r="AW33" i="5"/>
  <c r="AX33" i="5"/>
  <c r="BC33" i="5"/>
  <c r="BD33" i="5"/>
  <c r="BF33" i="5"/>
  <c r="BH33" i="5"/>
  <c r="AB33" i="5" s="1"/>
  <c r="BI33" i="5"/>
  <c r="AC33" i="5" s="1"/>
  <c r="BJ33" i="5"/>
  <c r="L35" i="5"/>
  <c r="AL35" i="5" s="1"/>
  <c r="Z35" i="5"/>
  <c r="AB35" i="5"/>
  <c r="AD35" i="5"/>
  <c r="AE35" i="5"/>
  <c r="AF35" i="5"/>
  <c r="AG35" i="5"/>
  <c r="AH35" i="5"/>
  <c r="AJ35" i="5"/>
  <c r="AK35" i="5"/>
  <c r="AO35" i="5"/>
  <c r="AP35" i="5"/>
  <c r="AW35" i="5"/>
  <c r="AX35" i="5"/>
  <c r="BD35" i="5"/>
  <c r="BF35" i="5"/>
  <c r="BH35" i="5"/>
  <c r="BI35" i="5"/>
  <c r="AC35" i="5" s="1"/>
  <c r="BJ35" i="5"/>
  <c r="L36" i="5"/>
  <c r="Z36" i="5"/>
  <c r="AB36" i="5"/>
  <c r="AC36" i="5"/>
  <c r="AD36" i="5"/>
  <c r="AE36" i="5"/>
  <c r="AF36" i="5"/>
  <c r="AG36" i="5"/>
  <c r="AH36" i="5"/>
  <c r="AJ36" i="5"/>
  <c r="AK36" i="5"/>
  <c r="AL36" i="5"/>
  <c r="AO36" i="5"/>
  <c r="AP36" i="5"/>
  <c r="AW36" i="5"/>
  <c r="AV36" i="5" s="1"/>
  <c r="AX36" i="5"/>
  <c r="BC36" i="5"/>
  <c r="BD36" i="5"/>
  <c r="BF36" i="5"/>
  <c r="BH36" i="5"/>
  <c r="BI36" i="5"/>
  <c r="BJ36" i="5"/>
  <c r="AT37" i="5"/>
  <c r="L38" i="5"/>
  <c r="Z38" i="5"/>
  <c r="AC38" i="5"/>
  <c r="AD38" i="5"/>
  <c r="AE38" i="5"/>
  <c r="AF38" i="5"/>
  <c r="AG38" i="5"/>
  <c r="AH38" i="5"/>
  <c r="AJ38" i="5"/>
  <c r="AK38" i="5"/>
  <c r="AL38" i="5"/>
  <c r="AO38" i="5"/>
  <c r="AP38" i="5"/>
  <c r="AX38" i="5"/>
  <c r="BD38" i="5"/>
  <c r="BF38" i="5"/>
  <c r="BI38" i="5"/>
  <c r="BJ38" i="5"/>
  <c r="L43" i="5"/>
  <c r="AL43" i="5" s="1"/>
  <c r="Z43" i="5"/>
  <c r="AD43" i="5"/>
  <c r="AE43" i="5"/>
  <c r="AF43" i="5"/>
  <c r="AG43" i="5"/>
  <c r="AH43" i="5"/>
  <c r="AJ43" i="5"/>
  <c r="AK43" i="5"/>
  <c r="AO43" i="5"/>
  <c r="AP43" i="5"/>
  <c r="AW43" i="5"/>
  <c r="BD43" i="5"/>
  <c r="BF43" i="5"/>
  <c r="BH43" i="5"/>
  <c r="AB43" i="5" s="1"/>
  <c r="BJ43" i="5"/>
  <c r="L44" i="5"/>
  <c r="AL44" i="5" s="1"/>
  <c r="AU37" i="5" s="1"/>
  <c r="Z44" i="5"/>
  <c r="AB44" i="5"/>
  <c r="AD44" i="5"/>
  <c r="AE44" i="5"/>
  <c r="AF44" i="5"/>
  <c r="AG44" i="5"/>
  <c r="AH44" i="5"/>
  <c r="AJ44" i="5"/>
  <c r="AS37" i="5" s="1"/>
  <c r="AK44" i="5"/>
  <c r="AO44" i="5"/>
  <c r="AP44" i="5"/>
  <c r="AV44" i="5"/>
  <c r="AW44" i="5"/>
  <c r="AX44" i="5"/>
  <c r="BC44" i="5"/>
  <c r="BD44" i="5"/>
  <c r="BF44" i="5"/>
  <c r="BH44" i="5"/>
  <c r="BI44" i="5"/>
  <c r="AC44" i="5" s="1"/>
  <c r="BJ44" i="5"/>
  <c r="L46" i="5"/>
  <c r="AS46" i="5"/>
  <c r="AT46" i="5"/>
  <c r="AU46" i="5"/>
  <c r="L47" i="5"/>
  <c r="Z47" i="5"/>
  <c r="AB47" i="5"/>
  <c r="AD47" i="5"/>
  <c r="AE47" i="5"/>
  <c r="AF47" i="5"/>
  <c r="AG47" i="5"/>
  <c r="AH47" i="5"/>
  <c r="AJ47" i="5"/>
  <c r="AK47" i="5"/>
  <c r="AL47" i="5"/>
  <c r="AO47" i="5"/>
  <c r="AP47" i="5"/>
  <c r="AX47" i="5" s="1"/>
  <c r="AW47" i="5"/>
  <c r="BD47" i="5"/>
  <c r="BF47" i="5"/>
  <c r="BH47" i="5"/>
  <c r="BI47" i="5"/>
  <c r="AC47" i="5" s="1"/>
  <c r="BJ47" i="5"/>
  <c r="L49" i="5"/>
  <c r="Z49" i="5"/>
  <c r="AC49" i="5"/>
  <c r="AD49" i="5"/>
  <c r="AE49" i="5"/>
  <c r="AF49" i="5"/>
  <c r="AG49" i="5"/>
  <c r="AH49" i="5"/>
  <c r="AJ49" i="5"/>
  <c r="AK49" i="5"/>
  <c r="AL49" i="5"/>
  <c r="AO49" i="5"/>
  <c r="AP49" i="5"/>
  <c r="AW49" i="5"/>
  <c r="BC49" i="5" s="1"/>
  <c r="AX49" i="5"/>
  <c r="BD49" i="5"/>
  <c r="BF49" i="5"/>
  <c r="BH49" i="5"/>
  <c r="AB49" i="5" s="1"/>
  <c r="BI49" i="5"/>
  <c r="BJ49" i="5"/>
  <c r="L51" i="5"/>
  <c r="AS51" i="5"/>
  <c r="L52" i="5"/>
  <c r="Z52" i="5"/>
  <c r="AC52" i="5"/>
  <c r="AD52" i="5"/>
  <c r="AE52" i="5"/>
  <c r="AF52" i="5"/>
  <c r="AG52" i="5"/>
  <c r="AH52" i="5"/>
  <c r="AJ52" i="5"/>
  <c r="AK52" i="5"/>
  <c r="AL52" i="5"/>
  <c r="AU51" i="5" s="1"/>
  <c r="AO52" i="5"/>
  <c r="AP52" i="5"/>
  <c r="AX52" i="5"/>
  <c r="BD52" i="5"/>
  <c r="BF52" i="5"/>
  <c r="BI52" i="5"/>
  <c r="BJ52" i="5"/>
  <c r="L53" i="5"/>
  <c r="Z53" i="5"/>
  <c r="AD53" i="5"/>
  <c r="AE53" i="5"/>
  <c r="AF53" i="5"/>
  <c r="AG53" i="5"/>
  <c r="AH53" i="5"/>
  <c r="AJ53" i="5"/>
  <c r="AK53" i="5"/>
  <c r="AT51" i="5" s="1"/>
  <c r="AL53" i="5"/>
  <c r="AO53" i="5"/>
  <c r="AP53" i="5"/>
  <c r="AX53" i="5" s="1"/>
  <c r="BD53" i="5"/>
  <c r="BF53" i="5"/>
  <c r="BJ53" i="5"/>
  <c r="L54" i="5"/>
  <c r="Z54" i="5"/>
  <c r="AB54" i="5"/>
  <c r="AC54" i="5"/>
  <c r="AD54" i="5"/>
  <c r="AE54" i="5"/>
  <c r="AF54" i="5"/>
  <c r="AG54" i="5"/>
  <c r="AH54" i="5"/>
  <c r="AJ54" i="5"/>
  <c r="AK54" i="5"/>
  <c r="AL54" i="5"/>
  <c r="AO54" i="5"/>
  <c r="AP54" i="5"/>
  <c r="AX54" i="5" s="1"/>
  <c r="AW54" i="5"/>
  <c r="BD54" i="5"/>
  <c r="BF54" i="5"/>
  <c r="BH54" i="5"/>
  <c r="BI54" i="5"/>
  <c r="BJ54" i="5"/>
  <c r="L55" i="5"/>
  <c r="Z55" i="5"/>
  <c r="AC55" i="5"/>
  <c r="AD55" i="5"/>
  <c r="AE55" i="5"/>
  <c r="AF55" i="5"/>
  <c r="AG55" i="5"/>
  <c r="AH55" i="5"/>
  <c r="AJ55" i="5"/>
  <c r="AK55" i="5"/>
  <c r="AL55" i="5"/>
  <c r="AO55" i="5"/>
  <c r="AP55" i="5"/>
  <c r="AW55" i="5"/>
  <c r="AX55" i="5"/>
  <c r="BD55" i="5"/>
  <c r="BF55" i="5"/>
  <c r="BH55" i="5"/>
  <c r="AB55" i="5" s="1"/>
  <c r="BI55" i="5"/>
  <c r="BJ55" i="5"/>
  <c r="L56" i="5"/>
  <c r="AL56" i="5" s="1"/>
  <c r="Z56" i="5"/>
  <c r="AD56" i="5"/>
  <c r="AE56" i="5"/>
  <c r="AF56" i="5"/>
  <c r="AG56" i="5"/>
  <c r="AH56" i="5"/>
  <c r="AJ56" i="5"/>
  <c r="AK56" i="5"/>
  <c r="AO56" i="5"/>
  <c r="AP56" i="5"/>
  <c r="AX56" i="5" s="1"/>
  <c r="AW56" i="5"/>
  <c r="BC56" i="5"/>
  <c r="BD56" i="5"/>
  <c r="BF56" i="5"/>
  <c r="BH56" i="5"/>
  <c r="AB56" i="5" s="1"/>
  <c r="BI56" i="5"/>
  <c r="AC56" i="5" s="1"/>
  <c r="BJ56" i="5"/>
  <c r="L57" i="5"/>
  <c r="AL57" i="5" s="1"/>
  <c r="Z57" i="5"/>
  <c r="AB57" i="5"/>
  <c r="AD57" i="5"/>
  <c r="AE57" i="5"/>
  <c r="AF57" i="5"/>
  <c r="AG57" i="5"/>
  <c r="AH57" i="5"/>
  <c r="AJ57" i="5"/>
  <c r="AK57" i="5"/>
  <c r="AO57" i="5"/>
  <c r="AP57" i="5"/>
  <c r="AW57" i="5"/>
  <c r="AX57" i="5"/>
  <c r="AV57" i="5" s="1"/>
  <c r="BC57" i="5"/>
  <c r="BD57" i="5"/>
  <c r="BF57" i="5"/>
  <c r="BH57" i="5"/>
  <c r="BI57" i="5"/>
  <c r="AC57" i="5" s="1"/>
  <c r="BJ57" i="5"/>
  <c r="AT58" i="5"/>
  <c r="L59" i="5"/>
  <c r="Z59" i="5"/>
  <c r="AB59" i="5"/>
  <c r="AD59" i="5"/>
  <c r="AE59" i="5"/>
  <c r="AF59" i="5"/>
  <c r="AG59" i="5"/>
  <c r="AH59" i="5"/>
  <c r="AJ59" i="5"/>
  <c r="AK59" i="5"/>
  <c r="AL59" i="5"/>
  <c r="AO59" i="5"/>
  <c r="AP59" i="5"/>
  <c r="AX59" i="5" s="1"/>
  <c r="AW59" i="5"/>
  <c r="BC59" i="5" s="1"/>
  <c r="BD59" i="5"/>
  <c r="BF59" i="5"/>
  <c r="BH59" i="5"/>
  <c r="BI59" i="5"/>
  <c r="AC59" i="5" s="1"/>
  <c r="BJ59" i="5"/>
  <c r="L60" i="5"/>
  <c r="Z60" i="5"/>
  <c r="AC60" i="5"/>
  <c r="AD60" i="5"/>
  <c r="AE60" i="5"/>
  <c r="AF60" i="5"/>
  <c r="AG60" i="5"/>
  <c r="AH60" i="5"/>
  <c r="AJ60" i="5"/>
  <c r="AK60" i="5"/>
  <c r="AL60" i="5"/>
  <c r="AO60" i="5"/>
  <c r="AP60" i="5"/>
  <c r="AV60" i="5"/>
  <c r="AW60" i="5"/>
  <c r="BC60" i="5" s="1"/>
  <c r="AX60" i="5"/>
  <c r="BD60" i="5"/>
  <c r="BF60" i="5"/>
  <c r="BH60" i="5"/>
  <c r="AB60" i="5" s="1"/>
  <c r="BI60" i="5"/>
  <c r="BJ60" i="5"/>
  <c r="L62" i="5"/>
  <c r="Z62" i="5"/>
  <c r="AD62" i="5"/>
  <c r="AE62" i="5"/>
  <c r="AF62" i="5"/>
  <c r="AG62" i="5"/>
  <c r="AH62" i="5"/>
  <c r="AJ62" i="5"/>
  <c r="AK62" i="5"/>
  <c r="AO62" i="5"/>
  <c r="AP62" i="5"/>
  <c r="AW62" i="5"/>
  <c r="AX62" i="5"/>
  <c r="BC62" i="5"/>
  <c r="BD62" i="5"/>
  <c r="BF62" i="5"/>
  <c r="BH62" i="5"/>
  <c r="AB62" i="5" s="1"/>
  <c r="BI62" i="5"/>
  <c r="AC62" i="5" s="1"/>
  <c r="BJ62" i="5"/>
  <c r="L63" i="5"/>
  <c r="AL63" i="5" s="1"/>
  <c r="Z63" i="5"/>
  <c r="AB63" i="5"/>
  <c r="AD63" i="5"/>
  <c r="AE63" i="5"/>
  <c r="AF63" i="5"/>
  <c r="AG63" i="5"/>
  <c r="AH63" i="5"/>
  <c r="AJ63" i="5"/>
  <c r="AS58" i="5" s="1"/>
  <c r="AK63" i="5"/>
  <c r="AO63" i="5"/>
  <c r="AP63" i="5"/>
  <c r="AW63" i="5"/>
  <c r="AX63" i="5"/>
  <c r="BD63" i="5"/>
  <c r="BF63" i="5"/>
  <c r="BH63" i="5"/>
  <c r="BI63" i="5"/>
  <c r="AC63" i="5" s="1"/>
  <c r="BJ63" i="5"/>
  <c r="L64" i="5"/>
  <c r="L19" i="1" s="1"/>
  <c r="N19" i="1" s="1"/>
  <c r="AS64" i="5"/>
  <c r="AT64" i="5"/>
  <c r="AU64" i="5"/>
  <c r="L65" i="5"/>
  <c r="Z65" i="5"/>
  <c r="AB65" i="5"/>
  <c r="AC65" i="5"/>
  <c r="AD65" i="5"/>
  <c r="AF65" i="5"/>
  <c r="AG65" i="5"/>
  <c r="AH65" i="5"/>
  <c r="AJ65" i="5"/>
  <c r="AK65" i="5"/>
  <c r="AL65" i="5"/>
  <c r="AO65" i="5"/>
  <c r="AP65" i="5"/>
  <c r="AW65" i="5"/>
  <c r="BD65" i="5"/>
  <c r="BF65" i="5"/>
  <c r="BH65" i="5"/>
  <c r="BJ65" i="5"/>
  <c r="L68" i="5"/>
  <c r="Z68" i="5"/>
  <c r="AB68" i="5"/>
  <c r="AC68" i="5"/>
  <c r="AD68" i="5"/>
  <c r="AE68" i="5"/>
  <c r="AF68" i="5"/>
  <c r="AG68" i="5"/>
  <c r="AH68" i="5"/>
  <c r="AJ68" i="5"/>
  <c r="AK68" i="5"/>
  <c r="AL68" i="5"/>
  <c r="AO68" i="5"/>
  <c r="AP68" i="5"/>
  <c r="AW68" i="5"/>
  <c r="AX68" i="5"/>
  <c r="BD68" i="5"/>
  <c r="BF68" i="5"/>
  <c r="BH68" i="5"/>
  <c r="BI68" i="5"/>
  <c r="BJ68" i="5"/>
  <c r="L70" i="5"/>
  <c r="Z70" i="5"/>
  <c r="AC70" i="5"/>
  <c r="AD70" i="5"/>
  <c r="AE70" i="5"/>
  <c r="AF70" i="5"/>
  <c r="AG70" i="5"/>
  <c r="AH70" i="5"/>
  <c r="AJ70" i="5"/>
  <c r="AK70" i="5"/>
  <c r="AL70" i="5"/>
  <c r="AO70" i="5"/>
  <c r="AW70" i="5" s="1"/>
  <c r="AV70" i="5" s="1"/>
  <c r="AP70" i="5"/>
  <c r="AX70" i="5"/>
  <c r="BC70" i="5"/>
  <c r="BD70" i="5"/>
  <c r="BF70" i="5"/>
  <c r="BH70" i="5"/>
  <c r="AB70" i="5" s="1"/>
  <c r="BI70" i="5"/>
  <c r="BJ70" i="5"/>
  <c r="L71" i="5"/>
  <c r="Z71" i="5"/>
  <c r="AD71" i="5"/>
  <c r="AE71" i="5"/>
  <c r="AF71" i="5"/>
  <c r="AG71" i="5"/>
  <c r="AH71" i="5"/>
  <c r="AJ71" i="5"/>
  <c r="AK71" i="5"/>
  <c r="AL71" i="5"/>
  <c r="AO71" i="5"/>
  <c r="AW71" i="5" s="1"/>
  <c r="BC71" i="5" s="1"/>
  <c r="AP71" i="5"/>
  <c r="AX71" i="5" s="1"/>
  <c r="AV71" i="5"/>
  <c r="BD71" i="5"/>
  <c r="BF71" i="5"/>
  <c r="BI71" i="5"/>
  <c r="AC71" i="5" s="1"/>
  <c r="BJ71" i="5"/>
  <c r="L72" i="5"/>
  <c r="Z72" i="5"/>
  <c r="AB72" i="5"/>
  <c r="AD72" i="5"/>
  <c r="AE72" i="5"/>
  <c r="AF72" i="5"/>
  <c r="AG72" i="5"/>
  <c r="AH72" i="5"/>
  <c r="AJ72" i="5"/>
  <c r="AK72" i="5"/>
  <c r="AL72" i="5"/>
  <c r="AO72" i="5"/>
  <c r="AP72" i="5"/>
  <c r="AX72" i="5" s="1"/>
  <c r="AV72" i="5"/>
  <c r="AW72" i="5"/>
  <c r="BC72" i="5" s="1"/>
  <c r="BD72" i="5"/>
  <c r="BF72" i="5"/>
  <c r="BH72" i="5"/>
  <c r="BI72" i="5"/>
  <c r="AC72" i="5" s="1"/>
  <c r="BJ72" i="5"/>
  <c r="L74" i="5"/>
  <c r="Z74" i="5"/>
  <c r="AC74" i="5"/>
  <c r="AD74" i="5"/>
  <c r="AE74" i="5"/>
  <c r="AF74" i="5"/>
  <c r="AG74" i="5"/>
  <c r="AH74" i="5"/>
  <c r="AJ74" i="5"/>
  <c r="AK74" i="5"/>
  <c r="AL74" i="5"/>
  <c r="AO74" i="5"/>
  <c r="AP74" i="5"/>
  <c r="AV74" i="5"/>
  <c r="AW74" i="5"/>
  <c r="BC74" i="5" s="1"/>
  <c r="AX74" i="5"/>
  <c r="BD74" i="5"/>
  <c r="BF74" i="5"/>
  <c r="BH74" i="5"/>
  <c r="AB74" i="5" s="1"/>
  <c r="BI74" i="5"/>
  <c r="BJ74" i="5"/>
  <c r="L75" i="5"/>
  <c r="Z75" i="5"/>
  <c r="AD75" i="5"/>
  <c r="AE75" i="5"/>
  <c r="AF75" i="5"/>
  <c r="AG75" i="5"/>
  <c r="AH75" i="5"/>
  <c r="AJ75" i="5"/>
  <c r="AK75" i="5"/>
  <c r="AO75" i="5"/>
  <c r="AP75" i="5"/>
  <c r="AW75" i="5"/>
  <c r="AX75" i="5"/>
  <c r="BC75" i="5" s="1"/>
  <c r="BD75" i="5"/>
  <c r="BF75" i="5"/>
  <c r="BH75" i="5"/>
  <c r="AB75" i="5" s="1"/>
  <c r="BI75" i="5"/>
  <c r="AC75" i="5" s="1"/>
  <c r="BJ75" i="5"/>
  <c r="L77" i="5"/>
  <c r="AL77" i="5" s="1"/>
  <c r="Z77" i="5"/>
  <c r="AB77" i="5"/>
  <c r="AD77" i="5"/>
  <c r="AE77" i="5"/>
  <c r="AF77" i="5"/>
  <c r="AG77" i="5"/>
  <c r="AH77" i="5"/>
  <c r="AJ77" i="5"/>
  <c r="AK77" i="5"/>
  <c r="AO77" i="5"/>
  <c r="AP77" i="5"/>
  <c r="AW77" i="5"/>
  <c r="AX77" i="5"/>
  <c r="BD77" i="5"/>
  <c r="BF77" i="5"/>
  <c r="BH77" i="5"/>
  <c r="BI77" i="5"/>
  <c r="AC77" i="5" s="1"/>
  <c r="BJ77" i="5"/>
  <c r="L79" i="5"/>
  <c r="Z79" i="5"/>
  <c r="AB79" i="5"/>
  <c r="AC79" i="5"/>
  <c r="AD79" i="5"/>
  <c r="AE79" i="5"/>
  <c r="AF79" i="5"/>
  <c r="AG79" i="5"/>
  <c r="AH79" i="5"/>
  <c r="AJ79" i="5"/>
  <c r="AK79" i="5"/>
  <c r="AL79" i="5"/>
  <c r="AO79" i="5"/>
  <c r="AP79" i="5"/>
  <c r="AW79" i="5"/>
  <c r="AV79" i="5" s="1"/>
  <c r="AX79" i="5"/>
  <c r="BC79" i="5"/>
  <c r="BD79" i="5"/>
  <c r="BF79" i="5"/>
  <c r="BH79" i="5"/>
  <c r="BI79" i="5"/>
  <c r="BJ79" i="5"/>
  <c r="L80" i="5"/>
  <c r="Z80" i="5"/>
  <c r="AB80" i="5"/>
  <c r="AC80" i="5"/>
  <c r="AD80" i="5"/>
  <c r="AE80" i="5"/>
  <c r="AF80" i="5"/>
  <c r="AG80" i="5"/>
  <c r="AH80" i="5"/>
  <c r="AJ80" i="5"/>
  <c r="AK80" i="5"/>
  <c r="AL80" i="5"/>
  <c r="AO80" i="5"/>
  <c r="AP80" i="5"/>
  <c r="AW80" i="5"/>
  <c r="AX80" i="5"/>
  <c r="BD80" i="5"/>
  <c r="BF80" i="5"/>
  <c r="BH80" i="5"/>
  <c r="BI80" i="5"/>
  <c r="BJ80" i="5"/>
  <c r="L82" i="5"/>
  <c r="Z82" i="5"/>
  <c r="AC82" i="5"/>
  <c r="AD82" i="5"/>
  <c r="AE82" i="5"/>
  <c r="AF82" i="5"/>
  <c r="AG82" i="5"/>
  <c r="AH82" i="5"/>
  <c r="AJ82" i="5"/>
  <c r="AK82" i="5"/>
  <c r="AL82" i="5"/>
  <c r="AO82" i="5"/>
  <c r="AW82" i="5" s="1"/>
  <c r="AV82" i="5" s="1"/>
  <c r="AP82" i="5"/>
  <c r="AX82" i="5"/>
  <c r="BC82" i="5"/>
  <c r="BD82" i="5"/>
  <c r="BF82" i="5"/>
  <c r="BH82" i="5"/>
  <c r="AB82" i="5" s="1"/>
  <c r="BI82" i="5"/>
  <c r="BJ82" i="5"/>
  <c r="L83" i="5"/>
  <c r="Z83" i="5"/>
  <c r="AD83" i="5"/>
  <c r="AE83" i="5"/>
  <c r="AF83" i="5"/>
  <c r="AG83" i="5"/>
  <c r="AH83" i="5"/>
  <c r="AJ83" i="5"/>
  <c r="AK83" i="5"/>
  <c r="AL83" i="5"/>
  <c r="AO83" i="5"/>
  <c r="AW83" i="5" s="1"/>
  <c r="BC83" i="5" s="1"/>
  <c r="AP83" i="5"/>
  <c r="AX83" i="5" s="1"/>
  <c r="AV83" i="5"/>
  <c r="BD83" i="5"/>
  <c r="BF83" i="5"/>
  <c r="BI83" i="5"/>
  <c r="AC83" i="5" s="1"/>
  <c r="BJ83" i="5"/>
  <c r="L84" i="5"/>
  <c r="Z84" i="5"/>
  <c r="AB84" i="5"/>
  <c r="AD84" i="5"/>
  <c r="AE84" i="5"/>
  <c r="AF84" i="5"/>
  <c r="AG84" i="5"/>
  <c r="AH84" i="5"/>
  <c r="AJ84" i="5"/>
  <c r="AK84" i="5"/>
  <c r="AL84" i="5"/>
  <c r="AO84" i="5"/>
  <c r="AP84" i="5"/>
  <c r="AX84" i="5" s="1"/>
  <c r="AV84" i="5"/>
  <c r="AW84" i="5"/>
  <c r="BC84" i="5" s="1"/>
  <c r="BD84" i="5"/>
  <c r="BF84" i="5"/>
  <c r="BH84" i="5"/>
  <c r="BI84" i="5"/>
  <c r="AC84" i="5" s="1"/>
  <c r="BJ84" i="5"/>
  <c r="L85" i="5"/>
  <c r="Z85" i="5"/>
  <c r="AC85" i="5"/>
  <c r="AD85" i="5"/>
  <c r="AE85" i="5"/>
  <c r="AF85" i="5"/>
  <c r="AG85" i="5"/>
  <c r="AH85" i="5"/>
  <c r="AJ85" i="5"/>
  <c r="AK85" i="5"/>
  <c r="AL85" i="5"/>
  <c r="AO85" i="5"/>
  <c r="AP85" i="5"/>
  <c r="AW85" i="5"/>
  <c r="BC85" i="5" s="1"/>
  <c r="AX85" i="5"/>
  <c r="BD85" i="5"/>
  <c r="BF85" i="5"/>
  <c r="BH85" i="5"/>
  <c r="AB85" i="5" s="1"/>
  <c r="BI85" i="5"/>
  <c r="BJ85" i="5"/>
  <c r="L86" i="5"/>
  <c r="AL86" i="5" s="1"/>
  <c r="Z86" i="5"/>
  <c r="AD86" i="5"/>
  <c r="AE86" i="5"/>
  <c r="AF86" i="5"/>
  <c r="AG86" i="5"/>
  <c r="AH86" i="5"/>
  <c r="AJ86" i="5"/>
  <c r="AK86" i="5"/>
  <c r="AO86" i="5"/>
  <c r="AP86" i="5"/>
  <c r="AW86" i="5"/>
  <c r="AX86" i="5"/>
  <c r="BC86" i="5" s="1"/>
  <c r="BD86" i="5"/>
  <c r="BF86" i="5"/>
  <c r="BH86" i="5"/>
  <c r="AB86" i="5" s="1"/>
  <c r="BI86" i="5"/>
  <c r="AC86" i="5" s="1"/>
  <c r="BJ86" i="5"/>
  <c r="L87" i="5"/>
  <c r="AL87" i="5" s="1"/>
  <c r="Z87" i="5"/>
  <c r="AB87" i="5"/>
  <c r="AD87" i="5"/>
  <c r="AE87" i="5"/>
  <c r="AF87" i="5"/>
  <c r="AG87" i="5"/>
  <c r="AH87" i="5"/>
  <c r="AJ87" i="5"/>
  <c r="AK87" i="5"/>
  <c r="AO87" i="5"/>
  <c r="AP87" i="5"/>
  <c r="AW87" i="5"/>
  <c r="AX87" i="5"/>
  <c r="BD87" i="5"/>
  <c r="BF87" i="5"/>
  <c r="BH87" i="5"/>
  <c r="BI87" i="5"/>
  <c r="AC87" i="5" s="1"/>
  <c r="BJ87" i="5"/>
  <c r="L88" i="5"/>
  <c r="Z88" i="5"/>
  <c r="AB88" i="5"/>
  <c r="AC88" i="5"/>
  <c r="AD88" i="5"/>
  <c r="AE88" i="5"/>
  <c r="AF88" i="5"/>
  <c r="AG88" i="5"/>
  <c r="AH88" i="5"/>
  <c r="AJ88" i="5"/>
  <c r="AK88" i="5"/>
  <c r="AL88" i="5"/>
  <c r="AO88" i="5"/>
  <c r="AP88" i="5"/>
  <c r="AW88" i="5"/>
  <c r="AV88" i="5" s="1"/>
  <c r="AX88" i="5"/>
  <c r="BC88" i="5"/>
  <c r="BD88" i="5"/>
  <c r="BF88" i="5"/>
  <c r="BH88" i="5"/>
  <c r="BI88" i="5"/>
  <c r="BJ88" i="5"/>
  <c r="L89" i="5"/>
  <c r="Z89" i="5"/>
  <c r="AB89" i="5"/>
  <c r="AC89" i="5"/>
  <c r="AD89" i="5"/>
  <c r="AE89" i="5"/>
  <c r="AF89" i="5"/>
  <c r="AG89" i="5"/>
  <c r="AH89" i="5"/>
  <c r="AJ89" i="5"/>
  <c r="AK89" i="5"/>
  <c r="AL89" i="5"/>
  <c r="AO89" i="5"/>
  <c r="AP89" i="5"/>
  <c r="AW89" i="5"/>
  <c r="AX89" i="5"/>
  <c r="BD89" i="5"/>
  <c r="BF89" i="5"/>
  <c r="BH89" i="5"/>
  <c r="BI89" i="5"/>
  <c r="BJ89" i="5"/>
  <c r="L90" i="5"/>
  <c r="Z90" i="5"/>
  <c r="AC90" i="5"/>
  <c r="AD90" i="5"/>
  <c r="AE90" i="5"/>
  <c r="AF90" i="5"/>
  <c r="AG90" i="5"/>
  <c r="AH90" i="5"/>
  <c r="AJ90" i="5"/>
  <c r="AK90" i="5"/>
  <c r="AL90" i="5"/>
  <c r="AO90" i="5"/>
  <c r="AW90" i="5" s="1"/>
  <c r="AV90" i="5" s="1"/>
  <c r="AP90" i="5"/>
  <c r="AX90" i="5"/>
  <c r="BC90" i="5"/>
  <c r="BD90" i="5"/>
  <c r="BF90" i="5"/>
  <c r="BH90" i="5"/>
  <c r="AB90" i="5" s="1"/>
  <c r="BI90" i="5"/>
  <c r="BJ90" i="5"/>
  <c r="L91" i="5"/>
  <c r="Z91" i="5"/>
  <c r="AD91" i="5"/>
  <c r="AE91" i="5"/>
  <c r="AF91" i="5"/>
  <c r="AG91" i="5"/>
  <c r="AH91" i="5"/>
  <c r="AJ91" i="5"/>
  <c r="AK91" i="5"/>
  <c r="AL91" i="5"/>
  <c r="AO91" i="5"/>
  <c r="AW91" i="5" s="1"/>
  <c r="BC91" i="5" s="1"/>
  <c r="AP91" i="5"/>
  <c r="AX91" i="5" s="1"/>
  <c r="AV91" i="5"/>
  <c r="BD91" i="5"/>
  <c r="BF91" i="5"/>
  <c r="BI91" i="5"/>
  <c r="AC91" i="5" s="1"/>
  <c r="BJ91" i="5"/>
  <c r="L92" i="5"/>
  <c r="Z92" i="5"/>
  <c r="AB92" i="5"/>
  <c r="AC92" i="5"/>
  <c r="AD92" i="5"/>
  <c r="AE92" i="5"/>
  <c r="AF92" i="5"/>
  <c r="AG92" i="5"/>
  <c r="AH92" i="5"/>
  <c r="AJ92" i="5"/>
  <c r="AK92" i="5"/>
  <c r="AL92" i="5"/>
  <c r="AO92" i="5"/>
  <c r="AP92" i="5"/>
  <c r="AX92" i="5" s="1"/>
  <c r="AW92" i="5"/>
  <c r="BC92" i="5" s="1"/>
  <c r="BD92" i="5"/>
  <c r="BF92" i="5"/>
  <c r="BH92" i="5"/>
  <c r="BI92" i="5"/>
  <c r="BJ92" i="5"/>
  <c r="L93" i="5"/>
  <c r="Z93" i="5"/>
  <c r="AC93" i="5"/>
  <c r="AD93" i="5"/>
  <c r="AE93" i="5"/>
  <c r="AF93" i="5"/>
  <c r="AG93" i="5"/>
  <c r="AH93" i="5"/>
  <c r="AJ93" i="5"/>
  <c r="AK93" i="5"/>
  <c r="AL93" i="5"/>
  <c r="AO93" i="5"/>
  <c r="AP93" i="5"/>
  <c r="AW93" i="5"/>
  <c r="AX93" i="5"/>
  <c r="BD93" i="5"/>
  <c r="BF93" i="5"/>
  <c r="BH93" i="5"/>
  <c r="AB93" i="5" s="1"/>
  <c r="BI93" i="5"/>
  <c r="BJ93" i="5"/>
  <c r="L94" i="5"/>
  <c r="AL94" i="5" s="1"/>
  <c r="Z94" i="5"/>
  <c r="AD94" i="5"/>
  <c r="AE94" i="5"/>
  <c r="AF94" i="5"/>
  <c r="AG94" i="5"/>
  <c r="AH94" i="5"/>
  <c r="AJ94" i="5"/>
  <c r="AK94" i="5"/>
  <c r="AO94" i="5"/>
  <c r="AP94" i="5"/>
  <c r="AW94" i="5"/>
  <c r="AX94" i="5"/>
  <c r="BC94" i="5"/>
  <c r="BD94" i="5"/>
  <c r="BF94" i="5"/>
  <c r="BH94" i="5"/>
  <c r="AB94" i="5" s="1"/>
  <c r="BI94" i="5"/>
  <c r="AC94" i="5" s="1"/>
  <c r="BJ94" i="5"/>
  <c r="L95" i="5"/>
  <c r="AL95" i="5" s="1"/>
  <c r="Z95" i="5"/>
  <c r="AB95" i="5"/>
  <c r="AD95" i="5"/>
  <c r="AE95" i="5"/>
  <c r="AF95" i="5"/>
  <c r="AG95" i="5"/>
  <c r="AH95" i="5"/>
  <c r="AJ95" i="5"/>
  <c r="AK95" i="5"/>
  <c r="AO95" i="5"/>
  <c r="AW95" i="5" s="1"/>
  <c r="AV95" i="5" s="1"/>
  <c r="AP95" i="5"/>
  <c r="AX95" i="5"/>
  <c r="BC95" i="5"/>
  <c r="BD95" i="5"/>
  <c r="BF95" i="5"/>
  <c r="BH95" i="5"/>
  <c r="BI95" i="5"/>
  <c r="AC95" i="5" s="1"/>
  <c r="BJ95" i="5"/>
  <c r="L96" i="5"/>
  <c r="Z96" i="5"/>
  <c r="AB96" i="5"/>
  <c r="AC96" i="5"/>
  <c r="AD96" i="5"/>
  <c r="AE96" i="5"/>
  <c r="AF96" i="5"/>
  <c r="AG96" i="5"/>
  <c r="AH96" i="5"/>
  <c r="AJ96" i="5"/>
  <c r="AK96" i="5"/>
  <c r="AL96" i="5"/>
  <c r="AO96" i="5"/>
  <c r="AP96" i="5"/>
  <c r="AX96" i="5" s="1"/>
  <c r="AW96" i="5"/>
  <c r="BD96" i="5"/>
  <c r="BF96" i="5"/>
  <c r="BH96" i="5"/>
  <c r="BI96" i="5"/>
  <c r="BJ96" i="5"/>
  <c r="L97" i="5"/>
  <c r="AL97" i="5" s="1"/>
  <c r="Z97" i="5"/>
  <c r="AB97" i="5"/>
  <c r="AC97" i="5"/>
  <c r="AD97" i="5"/>
  <c r="AE97" i="5"/>
  <c r="AF97" i="5"/>
  <c r="AG97" i="5"/>
  <c r="AH97" i="5"/>
  <c r="AJ97" i="5"/>
  <c r="AK97" i="5"/>
  <c r="AO97" i="5"/>
  <c r="AP97" i="5"/>
  <c r="AW97" i="5"/>
  <c r="AX97" i="5"/>
  <c r="BD97" i="5"/>
  <c r="BF97" i="5"/>
  <c r="BH97" i="5"/>
  <c r="BI97" i="5"/>
  <c r="BJ97" i="5"/>
  <c r="L98" i="5"/>
  <c r="Z98" i="5"/>
  <c r="AC98" i="5"/>
  <c r="AD98" i="5"/>
  <c r="AE98" i="5"/>
  <c r="AF98" i="5"/>
  <c r="AG98" i="5"/>
  <c r="AH98" i="5"/>
  <c r="AJ98" i="5"/>
  <c r="AK98" i="5"/>
  <c r="AL98" i="5"/>
  <c r="AO98" i="5"/>
  <c r="AP98" i="5"/>
  <c r="AX98" i="5"/>
  <c r="BD98" i="5"/>
  <c r="BF98" i="5"/>
  <c r="BI98" i="5"/>
  <c r="BJ98" i="5"/>
  <c r="L99" i="5"/>
  <c r="AL99" i="5" s="1"/>
  <c r="Z99" i="5"/>
  <c r="AD99" i="5"/>
  <c r="AE99" i="5"/>
  <c r="AF99" i="5"/>
  <c r="AG99" i="5"/>
  <c r="AH99" i="5"/>
  <c r="AJ99" i="5"/>
  <c r="AK99" i="5"/>
  <c r="AO99" i="5"/>
  <c r="AW99" i="5" s="1"/>
  <c r="AP99" i="5"/>
  <c r="BD99" i="5"/>
  <c r="BF99" i="5"/>
  <c r="BH99" i="5"/>
  <c r="AB99" i="5" s="1"/>
  <c r="BJ99" i="5"/>
  <c r="L100" i="5"/>
  <c r="Z100" i="5"/>
  <c r="AB100" i="5"/>
  <c r="AD100" i="5"/>
  <c r="AE100" i="5"/>
  <c r="AF100" i="5"/>
  <c r="AG100" i="5"/>
  <c r="AH100" i="5"/>
  <c r="AJ100" i="5"/>
  <c r="AK100" i="5"/>
  <c r="AL100" i="5"/>
  <c r="AO100" i="5"/>
  <c r="AP100" i="5"/>
  <c r="AW100" i="5"/>
  <c r="BD100" i="5"/>
  <c r="BF100" i="5"/>
  <c r="BH100" i="5"/>
  <c r="BJ100" i="5"/>
  <c r="L101" i="5"/>
  <c r="Z101" i="5"/>
  <c r="AC101" i="5"/>
  <c r="AD101" i="5"/>
  <c r="AE101" i="5"/>
  <c r="AF101" i="5"/>
  <c r="AG101" i="5"/>
  <c r="AH101" i="5"/>
  <c r="AJ101" i="5"/>
  <c r="AK101" i="5"/>
  <c r="AL101" i="5"/>
  <c r="AO101" i="5"/>
  <c r="AP101" i="5"/>
  <c r="AV101" i="5"/>
  <c r="AW101" i="5"/>
  <c r="BC101" i="5" s="1"/>
  <c r="AX101" i="5"/>
  <c r="BD101" i="5"/>
  <c r="BF101" i="5"/>
  <c r="BH101" i="5"/>
  <c r="AB101" i="5" s="1"/>
  <c r="BI101" i="5"/>
  <c r="BJ101" i="5"/>
  <c r="L102" i="5"/>
  <c r="AL102" i="5" s="1"/>
  <c r="Z102" i="5"/>
  <c r="AD102" i="5"/>
  <c r="AE102" i="5"/>
  <c r="AF102" i="5"/>
  <c r="AG102" i="5"/>
  <c r="AH102" i="5"/>
  <c r="AJ102" i="5"/>
  <c r="AK102" i="5"/>
  <c r="AO102" i="5"/>
  <c r="AP102" i="5"/>
  <c r="AW102" i="5"/>
  <c r="AX102" i="5"/>
  <c r="BD102" i="5"/>
  <c r="BF102" i="5"/>
  <c r="BH102" i="5"/>
  <c r="AB102" i="5" s="1"/>
  <c r="BI102" i="5"/>
  <c r="AC102" i="5" s="1"/>
  <c r="BJ102" i="5"/>
  <c r="L103" i="5"/>
  <c r="AL103" i="5" s="1"/>
  <c r="Z103" i="5"/>
  <c r="AB103" i="5"/>
  <c r="AD103" i="5"/>
  <c r="AE103" i="5"/>
  <c r="AF103" i="5"/>
  <c r="AG103" i="5"/>
  <c r="AH103" i="5"/>
  <c r="AJ103" i="5"/>
  <c r="AK103" i="5"/>
  <c r="AO103" i="5"/>
  <c r="AW103" i="5" s="1"/>
  <c r="AP103" i="5"/>
  <c r="AX103" i="5"/>
  <c r="AV103" i="5" s="1"/>
  <c r="BD103" i="5"/>
  <c r="BF103" i="5"/>
  <c r="BH103" i="5"/>
  <c r="BI103" i="5"/>
  <c r="AC103" i="5" s="1"/>
  <c r="BJ103" i="5"/>
  <c r="L104" i="5"/>
  <c r="Z104" i="5"/>
  <c r="AB104" i="5"/>
  <c r="AC104" i="5"/>
  <c r="AD104" i="5"/>
  <c r="AE104" i="5"/>
  <c r="AF104" i="5"/>
  <c r="AG104" i="5"/>
  <c r="AH104" i="5"/>
  <c r="AJ104" i="5"/>
  <c r="AK104" i="5"/>
  <c r="AL104" i="5"/>
  <c r="AO104" i="5"/>
  <c r="AP104" i="5"/>
  <c r="AX104" i="5" s="1"/>
  <c r="AW104" i="5"/>
  <c r="BD104" i="5"/>
  <c r="BF104" i="5"/>
  <c r="BH104" i="5"/>
  <c r="BI104" i="5"/>
  <c r="BJ104" i="5"/>
  <c r="L105" i="5"/>
  <c r="AL105" i="5" s="1"/>
  <c r="Z105" i="5"/>
  <c r="AB105" i="5"/>
  <c r="AC105" i="5"/>
  <c r="AD105" i="5"/>
  <c r="AE105" i="5"/>
  <c r="AF105" i="5"/>
  <c r="AG105" i="5"/>
  <c r="AH105" i="5"/>
  <c r="AJ105" i="5"/>
  <c r="AK105" i="5"/>
  <c r="AO105" i="5"/>
  <c r="AP105" i="5"/>
  <c r="AW105" i="5"/>
  <c r="AX105" i="5"/>
  <c r="AV105" i="5" s="1"/>
  <c r="BD105" i="5"/>
  <c r="BF105" i="5"/>
  <c r="BH105" i="5"/>
  <c r="BI105" i="5"/>
  <c r="BJ105" i="5"/>
  <c r="L106" i="5"/>
  <c r="Z106" i="5"/>
  <c r="AC106" i="5"/>
  <c r="AD106" i="5"/>
  <c r="AE106" i="5"/>
  <c r="AF106" i="5"/>
  <c r="AG106" i="5"/>
  <c r="AH106" i="5"/>
  <c r="AJ106" i="5"/>
  <c r="AK106" i="5"/>
  <c r="AL106" i="5"/>
  <c r="AO106" i="5"/>
  <c r="AP106" i="5"/>
  <c r="AX106" i="5"/>
  <c r="BD106" i="5"/>
  <c r="BF106" i="5"/>
  <c r="BI106" i="5"/>
  <c r="BJ106" i="5"/>
  <c r="L107" i="5"/>
  <c r="AL107" i="5" s="1"/>
  <c r="Z107" i="5"/>
  <c r="AD107" i="5"/>
  <c r="AE107" i="5"/>
  <c r="AF107" i="5"/>
  <c r="AG107" i="5"/>
  <c r="AH107" i="5"/>
  <c r="AJ107" i="5"/>
  <c r="AK107" i="5"/>
  <c r="AO107" i="5"/>
  <c r="AW107" i="5" s="1"/>
  <c r="AP107" i="5"/>
  <c r="BD107" i="5"/>
  <c r="BF107" i="5"/>
  <c r="BH107" i="5"/>
  <c r="AB107" i="5" s="1"/>
  <c r="BJ107" i="5"/>
  <c r="L108" i="5"/>
  <c r="Z108" i="5"/>
  <c r="AB108" i="5"/>
  <c r="AD108" i="5"/>
  <c r="AE108" i="5"/>
  <c r="AF108" i="5"/>
  <c r="AG108" i="5"/>
  <c r="AH108" i="5"/>
  <c r="AJ108" i="5"/>
  <c r="AK108" i="5"/>
  <c r="AL108" i="5"/>
  <c r="AO108" i="5"/>
  <c r="AP108" i="5"/>
  <c r="AW108" i="5"/>
  <c r="BD108" i="5"/>
  <c r="BF108" i="5"/>
  <c r="BH108" i="5"/>
  <c r="BJ108" i="5"/>
  <c r="L109" i="5"/>
  <c r="Z109" i="5"/>
  <c r="AC109" i="5"/>
  <c r="AD109" i="5"/>
  <c r="AE109" i="5"/>
  <c r="AF109" i="5"/>
  <c r="AG109" i="5"/>
  <c r="AH109" i="5"/>
  <c r="AJ109" i="5"/>
  <c r="AK109" i="5"/>
  <c r="AL109" i="5"/>
  <c r="AO109" i="5"/>
  <c r="AP109" i="5"/>
  <c r="AX109" i="5"/>
  <c r="BD109" i="5"/>
  <c r="BF109" i="5"/>
  <c r="BI109" i="5"/>
  <c r="BJ109" i="5"/>
  <c r="L110" i="5"/>
  <c r="AL110" i="5" s="1"/>
  <c r="Z110" i="5"/>
  <c r="AD110" i="5"/>
  <c r="AE110" i="5"/>
  <c r="AF110" i="5"/>
  <c r="AG110" i="5"/>
  <c r="AH110" i="5"/>
  <c r="AJ110" i="5"/>
  <c r="AK110" i="5"/>
  <c r="AO110" i="5"/>
  <c r="AP110" i="5"/>
  <c r="AW110" i="5"/>
  <c r="BD110" i="5"/>
  <c r="BF110" i="5"/>
  <c r="BH110" i="5"/>
  <c r="AB110" i="5" s="1"/>
  <c r="BJ110" i="5"/>
  <c r="L111" i="5"/>
  <c r="AL111" i="5" s="1"/>
  <c r="Z111" i="5"/>
  <c r="AD111" i="5"/>
  <c r="AE111" i="5"/>
  <c r="AF111" i="5"/>
  <c r="AG111" i="5"/>
  <c r="AH111" i="5"/>
  <c r="AJ111" i="5"/>
  <c r="AK111" i="5"/>
  <c r="AO111" i="5"/>
  <c r="AW111" i="5" s="1"/>
  <c r="AP111" i="5"/>
  <c r="AV111" i="5"/>
  <c r="AX111" i="5"/>
  <c r="BC111" i="5" s="1"/>
  <c r="BD111" i="5"/>
  <c r="BF111" i="5"/>
  <c r="BH111" i="5"/>
  <c r="AB111" i="5" s="1"/>
  <c r="BI111" i="5"/>
  <c r="AC111" i="5" s="1"/>
  <c r="BJ111" i="5"/>
  <c r="L112" i="5"/>
  <c r="Z112" i="5"/>
  <c r="AB112" i="5"/>
  <c r="AD112" i="5"/>
  <c r="AE112" i="5"/>
  <c r="AF112" i="5"/>
  <c r="AG112" i="5"/>
  <c r="AH112" i="5"/>
  <c r="AJ112" i="5"/>
  <c r="AK112" i="5"/>
  <c r="AL112" i="5"/>
  <c r="AO112" i="5"/>
  <c r="AP112" i="5"/>
  <c r="AX112" i="5" s="1"/>
  <c r="AW112" i="5"/>
  <c r="BC112" i="5"/>
  <c r="BD112" i="5"/>
  <c r="BF112" i="5"/>
  <c r="BH112" i="5"/>
  <c r="BI112" i="5"/>
  <c r="AC112" i="5" s="1"/>
  <c r="BJ112" i="5"/>
  <c r="L113" i="5"/>
  <c r="Z113" i="5"/>
  <c r="AB113" i="5"/>
  <c r="AC113" i="5"/>
  <c r="AD113" i="5"/>
  <c r="AE113" i="5"/>
  <c r="AF113" i="5"/>
  <c r="AG113" i="5"/>
  <c r="AH113" i="5"/>
  <c r="AJ113" i="5"/>
  <c r="AK113" i="5"/>
  <c r="AL113" i="5"/>
  <c r="AO113" i="5"/>
  <c r="AP113" i="5"/>
  <c r="AV113" i="5"/>
  <c r="AW113" i="5"/>
  <c r="BC113" i="5" s="1"/>
  <c r="AX113" i="5"/>
  <c r="BD113" i="5"/>
  <c r="BF113" i="5"/>
  <c r="BH113" i="5"/>
  <c r="BI113" i="5"/>
  <c r="BJ113" i="5"/>
  <c r="L114" i="5"/>
  <c r="AL114" i="5" s="1"/>
  <c r="Z114" i="5"/>
  <c r="AC114" i="5"/>
  <c r="AD114" i="5"/>
  <c r="AE114" i="5"/>
  <c r="AF114" i="5"/>
  <c r="AG114" i="5"/>
  <c r="AH114" i="5"/>
  <c r="AJ114" i="5"/>
  <c r="AK114" i="5"/>
  <c r="AO114" i="5"/>
  <c r="AP114" i="5"/>
  <c r="AW114" i="5"/>
  <c r="AX114" i="5"/>
  <c r="BD114" i="5"/>
  <c r="BF114" i="5"/>
  <c r="BH114" i="5"/>
  <c r="AB114" i="5" s="1"/>
  <c r="BI114" i="5"/>
  <c r="BJ114" i="5"/>
  <c r="L115" i="5"/>
  <c r="AL115" i="5" s="1"/>
  <c r="Z115" i="5"/>
  <c r="AD115" i="5"/>
  <c r="AE115" i="5"/>
  <c r="AF115" i="5"/>
  <c r="AG115" i="5"/>
  <c r="AH115" i="5"/>
  <c r="AJ115" i="5"/>
  <c r="AK115" i="5"/>
  <c r="AO115" i="5"/>
  <c r="AW115" i="5" s="1"/>
  <c r="AP115" i="5"/>
  <c r="BD115" i="5"/>
  <c r="BF115" i="5"/>
  <c r="BH115" i="5"/>
  <c r="AB115" i="5" s="1"/>
  <c r="BJ115" i="5"/>
  <c r="L116" i="5"/>
  <c r="Z116" i="5"/>
  <c r="AB116" i="5"/>
  <c r="AD116" i="5"/>
  <c r="AE116" i="5"/>
  <c r="AF116" i="5"/>
  <c r="AG116" i="5"/>
  <c r="AH116" i="5"/>
  <c r="AJ116" i="5"/>
  <c r="AK116" i="5"/>
  <c r="AL116" i="5"/>
  <c r="AO116" i="5"/>
  <c r="AP116" i="5"/>
  <c r="AX116" i="5" s="1"/>
  <c r="AW116" i="5"/>
  <c r="AV116" i="5" s="1"/>
  <c r="BC116" i="5"/>
  <c r="BD116" i="5"/>
  <c r="BF116" i="5"/>
  <c r="BH116" i="5"/>
  <c r="BI116" i="5"/>
  <c r="AC116" i="5" s="1"/>
  <c r="BJ116" i="5"/>
  <c r="L117" i="5"/>
  <c r="Z117" i="5"/>
  <c r="AB117" i="5"/>
  <c r="AC117" i="5"/>
  <c r="AD117" i="5"/>
  <c r="AE117" i="5"/>
  <c r="AF117" i="5"/>
  <c r="AG117" i="5"/>
  <c r="AH117" i="5"/>
  <c r="AJ117" i="5"/>
  <c r="AK117" i="5"/>
  <c r="AL117" i="5"/>
  <c r="AO117" i="5"/>
  <c r="AP117" i="5"/>
  <c r="AV117" i="5"/>
  <c r="AW117" i="5"/>
  <c r="BC117" i="5" s="1"/>
  <c r="AX117" i="5"/>
  <c r="BD117" i="5"/>
  <c r="BF117" i="5"/>
  <c r="BH117" i="5"/>
  <c r="BI117" i="5"/>
  <c r="BJ117" i="5"/>
  <c r="L118" i="5"/>
  <c r="AL118" i="5" s="1"/>
  <c r="Z118" i="5"/>
  <c r="AD118" i="5"/>
  <c r="AE118" i="5"/>
  <c r="AF118" i="5"/>
  <c r="AG118" i="5"/>
  <c r="AH118" i="5"/>
  <c r="AJ118" i="5"/>
  <c r="AK118" i="5"/>
  <c r="AO118" i="5"/>
  <c r="AP118" i="5"/>
  <c r="AX118" i="5" s="1"/>
  <c r="BD118" i="5"/>
  <c r="BF118" i="5"/>
  <c r="BJ118" i="5"/>
  <c r="L119" i="5"/>
  <c r="Z119" i="5"/>
  <c r="AD119" i="5"/>
  <c r="AE119" i="5"/>
  <c r="AF119" i="5"/>
  <c r="AG119" i="5"/>
  <c r="AH119" i="5"/>
  <c r="AJ119" i="5"/>
  <c r="AK119" i="5"/>
  <c r="AL119" i="5"/>
  <c r="AO119" i="5"/>
  <c r="AW119" i="5" s="1"/>
  <c r="AP119" i="5"/>
  <c r="AX119" i="5"/>
  <c r="BD119" i="5"/>
  <c r="BF119" i="5"/>
  <c r="BH119" i="5"/>
  <c r="AB119" i="5" s="1"/>
  <c r="BI119" i="5"/>
  <c r="AC119" i="5" s="1"/>
  <c r="BJ119" i="5"/>
  <c r="L120" i="5"/>
  <c r="Z120" i="5"/>
  <c r="AB120" i="5"/>
  <c r="AD120" i="5"/>
  <c r="AE120" i="5"/>
  <c r="AF120" i="5"/>
  <c r="AG120" i="5"/>
  <c r="AH120" i="5"/>
  <c r="AJ120" i="5"/>
  <c r="AK120" i="5"/>
  <c r="AL120" i="5"/>
  <c r="AO120" i="5"/>
  <c r="AP120" i="5"/>
  <c r="AW120" i="5"/>
  <c r="BD120" i="5"/>
  <c r="BF120" i="5"/>
  <c r="BH120" i="5"/>
  <c r="BJ120" i="5"/>
  <c r="L121" i="5"/>
  <c r="Z121" i="5"/>
  <c r="AB121" i="5"/>
  <c r="AC121" i="5"/>
  <c r="AD121" i="5"/>
  <c r="AE121" i="5"/>
  <c r="AF121" i="5"/>
  <c r="AG121" i="5"/>
  <c r="AH121" i="5"/>
  <c r="AJ121" i="5"/>
  <c r="AK121" i="5"/>
  <c r="AL121" i="5"/>
  <c r="AO121" i="5"/>
  <c r="AP121" i="5"/>
  <c r="AW121" i="5"/>
  <c r="AX121" i="5"/>
  <c r="BD121" i="5"/>
  <c r="BF121" i="5"/>
  <c r="BH121" i="5"/>
  <c r="BI121" i="5"/>
  <c r="BJ121" i="5"/>
  <c r="L122" i="5"/>
  <c r="Z122" i="5"/>
  <c r="AC122" i="5"/>
  <c r="AD122" i="5"/>
  <c r="AE122" i="5"/>
  <c r="AF122" i="5"/>
  <c r="AG122" i="5"/>
  <c r="AH122" i="5"/>
  <c r="AJ122" i="5"/>
  <c r="AK122" i="5"/>
  <c r="AL122" i="5"/>
  <c r="AO122" i="5"/>
  <c r="AW122" i="5" s="1"/>
  <c r="AP122" i="5"/>
  <c r="AX122" i="5"/>
  <c r="BD122" i="5"/>
  <c r="BF122" i="5"/>
  <c r="BH122" i="5"/>
  <c r="AB122" i="5" s="1"/>
  <c r="BI122" i="5"/>
  <c r="BJ122" i="5"/>
  <c r="L123" i="5"/>
  <c r="AL123" i="5" s="1"/>
  <c r="Z123" i="5"/>
  <c r="AD123" i="5"/>
  <c r="AE123" i="5"/>
  <c r="AF123" i="5"/>
  <c r="AG123" i="5"/>
  <c r="AH123" i="5"/>
  <c r="AJ123" i="5"/>
  <c r="AK123" i="5"/>
  <c r="AO123" i="5"/>
  <c r="AW123" i="5" s="1"/>
  <c r="AP123" i="5"/>
  <c r="BD123" i="5"/>
  <c r="BF123" i="5"/>
  <c r="BH123" i="5"/>
  <c r="AB123" i="5" s="1"/>
  <c r="BJ123" i="5"/>
  <c r="L124" i="5"/>
  <c r="Z124" i="5"/>
  <c r="AB124" i="5"/>
  <c r="AD124" i="5"/>
  <c r="AE124" i="5"/>
  <c r="AF124" i="5"/>
  <c r="AG124" i="5"/>
  <c r="AH124" i="5"/>
  <c r="AJ124" i="5"/>
  <c r="AK124" i="5"/>
  <c r="AL124" i="5"/>
  <c r="AO124" i="5"/>
  <c r="AP124" i="5"/>
  <c r="AX124" i="5" s="1"/>
  <c r="AW124" i="5"/>
  <c r="BD124" i="5"/>
  <c r="BF124" i="5"/>
  <c r="BH124" i="5"/>
  <c r="BJ124" i="5"/>
  <c r="L125" i="5"/>
  <c r="Z125" i="5"/>
  <c r="AB125" i="5"/>
  <c r="AC125" i="5"/>
  <c r="AD125" i="5"/>
  <c r="AE125" i="5"/>
  <c r="AF125" i="5"/>
  <c r="AG125" i="5"/>
  <c r="AH125" i="5"/>
  <c r="AJ125" i="5"/>
  <c r="AK125" i="5"/>
  <c r="AL125" i="5"/>
  <c r="AO125" i="5"/>
  <c r="AP125" i="5"/>
  <c r="AW125" i="5"/>
  <c r="BC125" i="5" s="1"/>
  <c r="AX125" i="5"/>
  <c r="BD125" i="5"/>
  <c r="BF125" i="5"/>
  <c r="BH125" i="5"/>
  <c r="BI125" i="5"/>
  <c r="BJ125" i="5"/>
  <c r="L126" i="5"/>
  <c r="AL126" i="5" s="1"/>
  <c r="Z126" i="5"/>
  <c r="AC126" i="5"/>
  <c r="AD126" i="5"/>
  <c r="AE126" i="5"/>
  <c r="AF126" i="5"/>
  <c r="AG126" i="5"/>
  <c r="AH126" i="5"/>
  <c r="AJ126" i="5"/>
  <c r="AK126" i="5"/>
  <c r="AO126" i="5"/>
  <c r="AP126" i="5"/>
  <c r="AW126" i="5"/>
  <c r="AX126" i="5"/>
  <c r="BD126" i="5"/>
  <c r="BF126" i="5"/>
  <c r="BH126" i="5"/>
  <c r="AB126" i="5" s="1"/>
  <c r="BI126" i="5"/>
  <c r="BJ126" i="5"/>
  <c r="L127" i="5"/>
  <c r="AL127" i="5" s="1"/>
  <c r="Z127" i="5"/>
  <c r="AD127" i="5"/>
  <c r="AE127" i="5"/>
  <c r="AF127" i="5"/>
  <c r="AG127" i="5"/>
  <c r="AH127" i="5"/>
  <c r="AJ127" i="5"/>
  <c r="AK127" i="5"/>
  <c r="AO127" i="5"/>
  <c r="AP127" i="5"/>
  <c r="AX127" i="5"/>
  <c r="BD127" i="5"/>
  <c r="BF127" i="5"/>
  <c r="BI127" i="5"/>
  <c r="AC127" i="5" s="1"/>
  <c r="BJ127" i="5"/>
  <c r="L128" i="5"/>
  <c r="Z128" i="5"/>
  <c r="AB128" i="5"/>
  <c r="AD128" i="5"/>
  <c r="AE128" i="5"/>
  <c r="AF128" i="5"/>
  <c r="AG128" i="5"/>
  <c r="AH128" i="5"/>
  <c r="AJ128" i="5"/>
  <c r="AK128" i="5"/>
  <c r="AL128" i="5"/>
  <c r="AO128" i="5"/>
  <c r="AP128" i="5"/>
  <c r="AX128" i="5" s="1"/>
  <c r="AV128" i="5" s="1"/>
  <c r="AW128" i="5"/>
  <c r="BC128" i="5"/>
  <c r="BD128" i="5"/>
  <c r="BF128" i="5"/>
  <c r="BH128" i="5"/>
  <c r="BI128" i="5"/>
  <c r="AC128" i="5" s="1"/>
  <c r="BJ128" i="5"/>
  <c r="L129" i="5"/>
  <c r="Z129" i="5"/>
  <c r="AB129" i="5"/>
  <c r="AC129" i="5"/>
  <c r="AD129" i="5"/>
  <c r="AE129" i="5"/>
  <c r="AF129" i="5"/>
  <c r="AG129" i="5"/>
  <c r="AH129" i="5"/>
  <c r="AJ129" i="5"/>
  <c r="AK129" i="5"/>
  <c r="AL129" i="5"/>
  <c r="AO129" i="5"/>
  <c r="AP129" i="5"/>
  <c r="AV129" i="5"/>
  <c r="AW129" i="5"/>
  <c r="BC129" i="5" s="1"/>
  <c r="AX129" i="5"/>
  <c r="BD129" i="5"/>
  <c r="BF129" i="5"/>
  <c r="BH129" i="5"/>
  <c r="BI129" i="5"/>
  <c r="BJ129" i="5"/>
  <c r="L130" i="5"/>
  <c r="AL130" i="5" s="1"/>
  <c r="Z130" i="5"/>
  <c r="AC130" i="5"/>
  <c r="AD130" i="5"/>
  <c r="AE130" i="5"/>
  <c r="AF130" i="5"/>
  <c r="AG130" i="5"/>
  <c r="AH130" i="5"/>
  <c r="AJ130" i="5"/>
  <c r="AK130" i="5"/>
  <c r="AO130" i="5"/>
  <c r="AW130" i="5" s="1"/>
  <c r="AP130" i="5"/>
  <c r="AX130" i="5"/>
  <c r="BD130" i="5"/>
  <c r="BF130" i="5"/>
  <c r="BH130" i="5"/>
  <c r="AB130" i="5" s="1"/>
  <c r="BI130" i="5"/>
  <c r="BJ130" i="5"/>
  <c r="L131" i="5"/>
  <c r="AL131" i="5" s="1"/>
  <c r="Z131" i="5"/>
  <c r="AD131" i="5"/>
  <c r="AE131" i="5"/>
  <c r="AF131" i="5"/>
  <c r="AG131" i="5"/>
  <c r="AH131" i="5"/>
  <c r="AJ131" i="5"/>
  <c r="AK131" i="5"/>
  <c r="AO131" i="5"/>
  <c r="AW131" i="5" s="1"/>
  <c r="AP131" i="5"/>
  <c r="AX131" i="5"/>
  <c r="BC131" i="5"/>
  <c r="BD131" i="5"/>
  <c r="BF131" i="5"/>
  <c r="BH131" i="5"/>
  <c r="AB131" i="5" s="1"/>
  <c r="BI131" i="5"/>
  <c r="AC131" i="5" s="1"/>
  <c r="BJ131" i="5"/>
  <c r="L132" i="5"/>
  <c r="Z132" i="5"/>
  <c r="AB132" i="5"/>
  <c r="AD132" i="5"/>
  <c r="AE132" i="5"/>
  <c r="AF132" i="5"/>
  <c r="AG132" i="5"/>
  <c r="AH132" i="5"/>
  <c r="AJ132" i="5"/>
  <c r="AK132" i="5"/>
  <c r="AL132" i="5"/>
  <c r="AO132" i="5"/>
  <c r="AP132" i="5"/>
  <c r="AX132" i="5" s="1"/>
  <c r="BC132" i="5" s="1"/>
  <c r="AV132" i="5"/>
  <c r="AW132" i="5"/>
  <c r="BD132" i="5"/>
  <c r="BF132" i="5"/>
  <c r="BH132" i="5"/>
  <c r="BI132" i="5"/>
  <c r="AC132" i="5" s="1"/>
  <c r="BJ132" i="5"/>
  <c r="L133" i="5"/>
  <c r="Z133" i="5"/>
  <c r="AB133" i="5"/>
  <c r="AC133" i="5"/>
  <c r="AD133" i="5"/>
  <c r="AE133" i="5"/>
  <c r="AF133" i="5"/>
  <c r="AG133" i="5"/>
  <c r="AH133" i="5"/>
  <c r="AJ133" i="5"/>
  <c r="AK133" i="5"/>
  <c r="AL133" i="5"/>
  <c r="AO133" i="5"/>
  <c r="AP133" i="5"/>
  <c r="AV133" i="5"/>
  <c r="AW133" i="5"/>
  <c r="BC133" i="5" s="1"/>
  <c r="AX133" i="5"/>
  <c r="BD133" i="5"/>
  <c r="BF133" i="5"/>
  <c r="BH133" i="5"/>
  <c r="BI133" i="5"/>
  <c r="BJ133" i="5"/>
  <c r="L134" i="5"/>
  <c r="AL134" i="5" s="1"/>
  <c r="Z134" i="5"/>
  <c r="AC134" i="5"/>
  <c r="AD134" i="5"/>
  <c r="AE134" i="5"/>
  <c r="AF134" i="5"/>
  <c r="AG134" i="5"/>
  <c r="AH134" i="5"/>
  <c r="AJ134" i="5"/>
  <c r="AK134" i="5"/>
  <c r="AO134" i="5"/>
  <c r="AP134" i="5"/>
  <c r="AX134" i="5"/>
  <c r="BD134" i="5"/>
  <c r="BF134" i="5"/>
  <c r="BI134" i="5"/>
  <c r="BJ134" i="5"/>
  <c r="L135" i="5"/>
  <c r="AL135" i="5" s="1"/>
  <c r="Z135" i="5"/>
  <c r="AD135" i="5"/>
  <c r="AE135" i="5"/>
  <c r="AF135" i="5"/>
  <c r="AG135" i="5"/>
  <c r="AH135" i="5"/>
  <c r="AJ135" i="5"/>
  <c r="AK135" i="5"/>
  <c r="AO135" i="5"/>
  <c r="AW135" i="5" s="1"/>
  <c r="AP135" i="5"/>
  <c r="BD135" i="5"/>
  <c r="BF135" i="5"/>
  <c r="BH135" i="5"/>
  <c r="AB135" i="5" s="1"/>
  <c r="BJ135" i="5"/>
  <c r="AS136" i="5"/>
  <c r="L137" i="5"/>
  <c r="Z137" i="5"/>
  <c r="AB137" i="5"/>
  <c r="AD137" i="5"/>
  <c r="AE137" i="5"/>
  <c r="AF137" i="5"/>
  <c r="AG137" i="5"/>
  <c r="AH137" i="5"/>
  <c r="AJ137" i="5"/>
  <c r="AK137" i="5"/>
  <c r="AL137" i="5"/>
  <c r="AO137" i="5"/>
  <c r="AP137" i="5"/>
  <c r="AX137" i="5" s="1"/>
  <c r="AV137" i="5"/>
  <c r="AW137" i="5"/>
  <c r="BC137" i="5"/>
  <c r="BD137" i="5"/>
  <c r="BF137" i="5"/>
  <c r="BH137" i="5"/>
  <c r="BI137" i="5"/>
  <c r="AC137" i="5" s="1"/>
  <c r="BJ137" i="5"/>
  <c r="L139" i="5"/>
  <c r="Z139" i="5"/>
  <c r="AB139" i="5"/>
  <c r="AC139" i="5"/>
  <c r="AD139" i="5"/>
  <c r="AE139" i="5"/>
  <c r="AF139" i="5"/>
  <c r="AG139" i="5"/>
  <c r="AH139" i="5"/>
  <c r="AJ139" i="5"/>
  <c r="AK139" i="5"/>
  <c r="AT136" i="5" s="1"/>
  <c r="AL139" i="5"/>
  <c r="AO139" i="5"/>
  <c r="AP139" i="5"/>
  <c r="AV139" i="5"/>
  <c r="AW139" i="5"/>
  <c r="BC139" i="5" s="1"/>
  <c r="AX139" i="5"/>
  <c r="BD139" i="5"/>
  <c r="BF139" i="5"/>
  <c r="BH139" i="5"/>
  <c r="BI139" i="5"/>
  <c r="BJ139" i="5"/>
  <c r="L140" i="5"/>
  <c r="AL140" i="5" s="1"/>
  <c r="Z140" i="5"/>
  <c r="AC140" i="5"/>
  <c r="AD140" i="5"/>
  <c r="AE140" i="5"/>
  <c r="AF140" i="5"/>
  <c r="AG140" i="5"/>
  <c r="AH140" i="5"/>
  <c r="AJ140" i="5"/>
  <c r="AK140" i="5"/>
  <c r="AO140" i="5"/>
  <c r="AP140" i="5"/>
  <c r="AX140" i="5"/>
  <c r="BD140" i="5"/>
  <c r="BF140" i="5"/>
  <c r="BI140" i="5"/>
  <c r="BJ140" i="5"/>
  <c r="L141" i="5"/>
  <c r="AL141" i="5" s="1"/>
  <c r="Z141" i="5"/>
  <c r="AD141" i="5"/>
  <c r="AE141" i="5"/>
  <c r="AF141" i="5"/>
  <c r="AG141" i="5"/>
  <c r="AH141" i="5"/>
  <c r="AJ141" i="5"/>
  <c r="AK141" i="5"/>
  <c r="AO141" i="5"/>
  <c r="AW141" i="5" s="1"/>
  <c r="AV141" i="5" s="1"/>
  <c r="AP141" i="5"/>
  <c r="AX141" i="5"/>
  <c r="BC141" i="5"/>
  <c r="BD141" i="5"/>
  <c r="BF141" i="5"/>
  <c r="BH141" i="5"/>
  <c r="AB141" i="5" s="1"/>
  <c r="BI141" i="5"/>
  <c r="AC141" i="5" s="1"/>
  <c r="BJ141" i="5"/>
  <c r="L143" i="5"/>
  <c r="L22" i="1" s="1"/>
  <c r="AT143" i="5"/>
  <c r="AU143" i="5"/>
  <c r="L144" i="5"/>
  <c r="Z144" i="5"/>
  <c r="AB144" i="5"/>
  <c r="AD144" i="5"/>
  <c r="AE144" i="5"/>
  <c r="AF144" i="5"/>
  <c r="AG144" i="5"/>
  <c r="AH144" i="5"/>
  <c r="AJ144" i="5"/>
  <c r="AS143" i="5" s="1"/>
  <c r="AK144" i="5"/>
  <c r="AL144" i="5"/>
  <c r="AO144" i="5"/>
  <c r="AP144" i="5"/>
  <c r="AX144" i="5" s="1"/>
  <c r="BC144" i="5" s="1"/>
  <c r="AV144" i="5"/>
  <c r="AW144" i="5"/>
  <c r="BD144" i="5"/>
  <c r="BF144" i="5"/>
  <c r="BH144" i="5"/>
  <c r="BI144" i="5"/>
  <c r="AC144" i="5" s="1"/>
  <c r="BJ144" i="5"/>
  <c r="L145" i="5"/>
  <c r="L23" i="1" s="1"/>
  <c r="N23" i="1" s="1"/>
  <c r="AT145" i="5"/>
  <c r="L146" i="5"/>
  <c r="Z146" i="5"/>
  <c r="AB146" i="5"/>
  <c r="AC146" i="5"/>
  <c r="AD146" i="5"/>
  <c r="AE146" i="5"/>
  <c r="AF146" i="5"/>
  <c r="AG146" i="5"/>
  <c r="AH146" i="5"/>
  <c r="AJ146" i="5"/>
  <c r="AS145" i="5" s="1"/>
  <c r="AK146" i="5"/>
  <c r="AL146" i="5"/>
  <c r="AU145" i="5" s="1"/>
  <c r="AO146" i="5"/>
  <c r="AW146" i="5" s="1"/>
  <c r="BC146" i="5" s="1"/>
  <c r="AP146" i="5"/>
  <c r="AV146" i="5"/>
  <c r="AX146" i="5"/>
  <c r="BD146" i="5"/>
  <c r="BF146" i="5"/>
  <c r="BH146" i="5"/>
  <c r="BI146" i="5"/>
  <c r="BJ146" i="5"/>
  <c r="L148" i="5"/>
  <c r="Z148" i="5"/>
  <c r="AC148" i="5"/>
  <c r="AD148" i="5"/>
  <c r="AE148" i="5"/>
  <c r="AF148" i="5"/>
  <c r="AG148" i="5"/>
  <c r="AH148" i="5"/>
  <c r="AJ148" i="5"/>
  <c r="AK148" i="5"/>
  <c r="AL148" i="5"/>
  <c r="AO148" i="5"/>
  <c r="AW148" i="5" s="1"/>
  <c r="AP148" i="5"/>
  <c r="AX148" i="5"/>
  <c r="BD148" i="5"/>
  <c r="BF148" i="5"/>
  <c r="BH148" i="5"/>
  <c r="AB148" i="5" s="1"/>
  <c r="BI148" i="5"/>
  <c r="BJ148" i="5"/>
  <c r="L150" i="5"/>
  <c r="AL150" i="5" s="1"/>
  <c r="Z150" i="5"/>
  <c r="AD150" i="5"/>
  <c r="AE150" i="5"/>
  <c r="AF150" i="5"/>
  <c r="AG150" i="5"/>
  <c r="AH150" i="5"/>
  <c r="AJ150" i="5"/>
  <c r="AK150" i="5"/>
  <c r="AT147" i="5" s="1"/>
  <c r="AO150" i="5"/>
  <c r="AW150" i="5" s="1"/>
  <c r="AP150" i="5"/>
  <c r="AX150" i="5"/>
  <c r="BC150" i="5"/>
  <c r="BD150" i="5"/>
  <c r="BF150" i="5"/>
  <c r="BH150" i="5"/>
  <c r="AB150" i="5" s="1"/>
  <c r="BI150" i="5"/>
  <c r="AC150" i="5" s="1"/>
  <c r="BJ150" i="5"/>
  <c r="L152" i="5"/>
  <c r="Z152" i="5"/>
  <c r="AB152" i="5"/>
  <c r="AC152" i="5"/>
  <c r="AD152" i="5"/>
  <c r="AE152" i="5"/>
  <c r="AF152" i="5"/>
  <c r="AG152" i="5"/>
  <c r="AH152" i="5"/>
  <c r="AJ152" i="5"/>
  <c r="AK152" i="5"/>
  <c r="AL152" i="5"/>
  <c r="AO152" i="5"/>
  <c r="AP152" i="5"/>
  <c r="AV152" i="5"/>
  <c r="AW152" i="5"/>
  <c r="AX152" i="5"/>
  <c r="BC152" i="5"/>
  <c r="BD152" i="5"/>
  <c r="BF152" i="5"/>
  <c r="BH152" i="5"/>
  <c r="BI152" i="5"/>
  <c r="BJ152" i="5"/>
  <c r="L154" i="5"/>
  <c r="Z154" i="5"/>
  <c r="AB154" i="5"/>
  <c r="AC154" i="5"/>
  <c r="AD154" i="5"/>
  <c r="AE154" i="5"/>
  <c r="AF154" i="5"/>
  <c r="AG154" i="5"/>
  <c r="AH154" i="5"/>
  <c r="AJ154" i="5"/>
  <c r="AK154" i="5"/>
  <c r="AL154" i="5"/>
  <c r="AO154" i="5"/>
  <c r="AP154" i="5"/>
  <c r="AW154" i="5"/>
  <c r="AX154" i="5"/>
  <c r="BD154" i="5"/>
  <c r="BF154" i="5"/>
  <c r="BH154" i="5"/>
  <c r="BI154" i="5"/>
  <c r="BJ154" i="5"/>
  <c r="L155" i="5"/>
  <c r="L147" i="5" s="1"/>
  <c r="L24" i="1" s="1"/>
  <c r="N24" i="1" s="1"/>
  <c r="Z155" i="5"/>
  <c r="AD155" i="5"/>
  <c r="AE155" i="5"/>
  <c r="AF155" i="5"/>
  <c r="AG155" i="5"/>
  <c r="AH155" i="5"/>
  <c r="AJ155" i="5"/>
  <c r="AK155" i="5"/>
  <c r="AO155" i="5"/>
  <c r="AW155" i="5" s="1"/>
  <c r="AV155" i="5" s="1"/>
  <c r="AP155" i="5"/>
  <c r="AX155" i="5" s="1"/>
  <c r="BC155" i="5"/>
  <c r="BD155" i="5"/>
  <c r="BF155" i="5"/>
  <c r="BH155" i="5"/>
  <c r="AB155" i="5" s="1"/>
  <c r="BI155" i="5"/>
  <c r="AC155" i="5" s="1"/>
  <c r="BJ155" i="5"/>
  <c r="L156" i="5"/>
  <c r="AL156" i="5" s="1"/>
  <c r="Z156" i="5"/>
  <c r="AD156" i="5"/>
  <c r="AE156" i="5"/>
  <c r="AF156" i="5"/>
  <c r="AG156" i="5"/>
  <c r="AH156" i="5"/>
  <c r="AJ156" i="5"/>
  <c r="AK156" i="5"/>
  <c r="AO156" i="5"/>
  <c r="AW156" i="5" s="1"/>
  <c r="AP156" i="5"/>
  <c r="BD156" i="5"/>
  <c r="BF156" i="5"/>
  <c r="BJ156" i="5"/>
  <c r="L159" i="5"/>
  <c r="Z159" i="5"/>
  <c r="AB159" i="5"/>
  <c r="AD159" i="5"/>
  <c r="AE159" i="5"/>
  <c r="AF159" i="5"/>
  <c r="AG159" i="5"/>
  <c r="AH159" i="5"/>
  <c r="AJ159" i="5"/>
  <c r="AK159" i="5"/>
  <c r="AL159" i="5"/>
  <c r="AO159" i="5"/>
  <c r="AP159" i="5"/>
  <c r="AW159" i="5"/>
  <c r="BD159" i="5"/>
  <c r="BF159" i="5"/>
  <c r="BH159" i="5"/>
  <c r="BJ159" i="5"/>
  <c r="L161" i="5"/>
  <c r="AL161" i="5" s="1"/>
  <c r="Z161" i="5"/>
  <c r="AB161" i="5"/>
  <c r="AC161" i="5"/>
  <c r="AD161" i="5"/>
  <c r="AE161" i="5"/>
  <c r="AF161" i="5"/>
  <c r="AG161" i="5"/>
  <c r="AH161" i="5"/>
  <c r="AJ161" i="5"/>
  <c r="AK161" i="5"/>
  <c r="AT158" i="5" s="1"/>
  <c r="AO161" i="5"/>
  <c r="AW161" i="5" s="1"/>
  <c r="BC161" i="5" s="1"/>
  <c r="AP161" i="5"/>
  <c r="AV161" i="5"/>
  <c r="AX161" i="5"/>
  <c r="BD161" i="5"/>
  <c r="BF161" i="5"/>
  <c r="BH161" i="5"/>
  <c r="BI161" i="5"/>
  <c r="BJ161" i="5"/>
  <c r="L162" i="5"/>
  <c r="Z162" i="5"/>
  <c r="AD162" i="5"/>
  <c r="AE162" i="5"/>
  <c r="AF162" i="5"/>
  <c r="AG162" i="5"/>
  <c r="AH162" i="5"/>
  <c r="AJ162" i="5"/>
  <c r="AK162" i="5"/>
  <c r="AL162" i="5"/>
  <c r="AO162" i="5"/>
  <c r="AP162" i="5"/>
  <c r="BI162" i="5" s="1"/>
  <c r="AC162" i="5" s="1"/>
  <c r="AW162" i="5"/>
  <c r="AX162" i="5"/>
  <c r="BD162" i="5"/>
  <c r="BF162" i="5"/>
  <c r="BH162" i="5"/>
  <c r="AB162" i="5" s="1"/>
  <c r="BJ162" i="5"/>
  <c r="L164" i="5"/>
  <c r="AL164" i="5" s="1"/>
  <c r="Z164" i="5"/>
  <c r="AD164" i="5"/>
  <c r="AE164" i="5"/>
  <c r="AF164" i="5"/>
  <c r="AG164" i="5"/>
  <c r="AH164" i="5"/>
  <c r="AJ164" i="5"/>
  <c r="AS158" i="5" s="1"/>
  <c r="AK164" i="5"/>
  <c r="AO164" i="5"/>
  <c r="AW164" i="5" s="1"/>
  <c r="AP164" i="5"/>
  <c r="BD164" i="5"/>
  <c r="BF164" i="5"/>
  <c r="BJ164" i="5"/>
  <c r="L166" i="5"/>
  <c r="Z166" i="5"/>
  <c r="AB166" i="5"/>
  <c r="AC166" i="5"/>
  <c r="AD166" i="5"/>
  <c r="AE166" i="5"/>
  <c r="AF166" i="5"/>
  <c r="AG166" i="5"/>
  <c r="AH166" i="5"/>
  <c r="AJ166" i="5"/>
  <c r="AK166" i="5"/>
  <c r="AO166" i="5"/>
  <c r="AP166" i="5"/>
  <c r="AW166" i="5"/>
  <c r="AX166" i="5"/>
  <c r="BD166" i="5"/>
  <c r="BF166" i="5"/>
  <c r="BH166" i="5"/>
  <c r="BI166" i="5"/>
  <c r="BJ166" i="5"/>
  <c r="L168" i="5"/>
  <c r="AL168" i="5" s="1"/>
  <c r="Z168" i="5"/>
  <c r="AB168" i="5"/>
  <c r="AC168" i="5"/>
  <c r="AD168" i="5"/>
  <c r="AE168" i="5"/>
  <c r="AF168" i="5"/>
  <c r="AG168" i="5"/>
  <c r="AH168" i="5"/>
  <c r="AJ168" i="5"/>
  <c r="AK168" i="5"/>
  <c r="AO168" i="5"/>
  <c r="AP168" i="5"/>
  <c r="AW168" i="5"/>
  <c r="AX168" i="5"/>
  <c r="BC168" i="5"/>
  <c r="BD168" i="5"/>
  <c r="BF168" i="5"/>
  <c r="BH168" i="5"/>
  <c r="BI168" i="5"/>
  <c r="BJ168" i="5"/>
  <c r="L170" i="5"/>
  <c r="AL170" i="5" s="1"/>
  <c r="Z170" i="5"/>
  <c r="AB170" i="5"/>
  <c r="AD170" i="5"/>
  <c r="AE170" i="5"/>
  <c r="AF170" i="5"/>
  <c r="AG170" i="5"/>
  <c r="AH170" i="5"/>
  <c r="AJ170" i="5"/>
  <c r="AK170" i="5"/>
  <c r="AT165" i="5" s="1"/>
  <c r="AO170" i="5"/>
  <c r="AP170" i="5"/>
  <c r="BI170" i="5" s="1"/>
  <c r="AC170" i="5" s="1"/>
  <c r="AW170" i="5"/>
  <c r="BD170" i="5"/>
  <c r="BF170" i="5"/>
  <c r="BH170" i="5"/>
  <c r="BJ170" i="5"/>
  <c r="L172" i="5"/>
  <c r="AL172" i="5" s="1"/>
  <c r="Z172" i="5"/>
  <c r="AD172" i="5"/>
  <c r="AE172" i="5"/>
  <c r="AF172" i="5"/>
  <c r="AG172" i="5"/>
  <c r="AH172" i="5"/>
  <c r="AJ172" i="5"/>
  <c r="AK172" i="5"/>
  <c r="AO172" i="5"/>
  <c r="AW172" i="5" s="1"/>
  <c r="AP172" i="5"/>
  <c r="AX172" i="5" s="1"/>
  <c r="BC172" i="5"/>
  <c r="BD172" i="5"/>
  <c r="BF172" i="5"/>
  <c r="BH172" i="5"/>
  <c r="AB172" i="5" s="1"/>
  <c r="BI172" i="5"/>
  <c r="AC172" i="5" s="1"/>
  <c r="BJ172" i="5"/>
  <c r="L174" i="5"/>
  <c r="Z174" i="5"/>
  <c r="AD174" i="5"/>
  <c r="AE174" i="5"/>
  <c r="AF174" i="5"/>
  <c r="AG174" i="5"/>
  <c r="AH174" i="5"/>
  <c r="AJ174" i="5"/>
  <c r="AK174" i="5"/>
  <c r="AL174" i="5"/>
  <c r="AO174" i="5"/>
  <c r="AW174" i="5" s="1"/>
  <c r="AP174" i="5"/>
  <c r="BD174" i="5"/>
  <c r="BF174" i="5"/>
  <c r="BJ174" i="5"/>
  <c r="L175" i="5"/>
  <c r="AL175" i="5" s="1"/>
  <c r="Z175" i="5"/>
  <c r="AD175" i="5"/>
  <c r="AE175" i="5"/>
  <c r="AF175" i="5"/>
  <c r="AG175" i="5"/>
  <c r="AH175" i="5"/>
  <c r="AJ175" i="5"/>
  <c r="AK175" i="5"/>
  <c r="AO175" i="5"/>
  <c r="BH175" i="5" s="1"/>
  <c r="AB175" i="5" s="1"/>
  <c r="AP175" i="5"/>
  <c r="AW175" i="5"/>
  <c r="AX175" i="5"/>
  <c r="BD175" i="5"/>
  <c r="BF175" i="5"/>
  <c r="BI175" i="5"/>
  <c r="AC175" i="5" s="1"/>
  <c r="BJ175" i="5"/>
  <c r="L177" i="5"/>
  <c r="Z177" i="5"/>
  <c r="AC177" i="5"/>
  <c r="AD177" i="5"/>
  <c r="AE177" i="5"/>
  <c r="AF177" i="5"/>
  <c r="AG177" i="5"/>
  <c r="AH177" i="5"/>
  <c r="AJ177" i="5"/>
  <c r="AK177" i="5"/>
  <c r="AL177" i="5"/>
  <c r="AO177" i="5"/>
  <c r="AP177" i="5"/>
  <c r="AX177" i="5" s="1"/>
  <c r="AW177" i="5"/>
  <c r="BD177" i="5"/>
  <c r="BF177" i="5"/>
  <c r="BH177" i="5"/>
  <c r="AB177" i="5" s="1"/>
  <c r="BI177" i="5"/>
  <c r="BJ177" i="5"/>
  <c r="L180" i="5"/>
  <c r="L27" i="1" s="1"/>
  <c r="N27" i="1" s="1"/>
  <c r="AT180" i="5"/>
  <c r="L181" i="5"/>
  <c r="AL181" i="5" s="1"/>
  <c r="AU180" i="5" s="1"/>
  <c r="Z181" i="5"/>
  <c r="AD181" i="5"/>
  <c r="AE181" i="5"/>
  <c r="AF181" i="5"/>
  <c r="AG181" i="5"/>
  <c r="AH181" i="5"/>
  <c r="AJ181" i="5"/>
  <c r="AS180" i="5" s="1"/>
  <c r="AK181" i="5"/>
  <c r="AO181" i="5"/>
  <c r="AW181" i="5" s="1"/>
  <c r="AP181" i="5"/>
  <c r="BD181" i="5"/>
  <c r="BF181" i="5"/>
  <c r="BH181" i="5"/>
  <c r="AB181" i="5" s="1"/>
  <c r="BJ181" i="5"/>
  <c r="L184" i="5"/>
  <c r="Z184" i="5"/>
  <c r="AB184" i="5"/>
  <c r="AC184" i="5"/>
  <c r="AE184" i="5"/>
  <c r="AF184" i="5"/>
  <c r="AG184" i="5"/>
  <c r="AH184" i="5"/>
  <c r="AJ184" i="5"/>
  <c r="AS183" i="5" s="1"/>
  <c r="AK184" i="5"/>
  <c r="AO184" i="5"/>
  <c r="AP184" i="5"/>
  <c r="BI184" i="5" s="1"/>
  <c r="AW184" i="5"/>
  <c r="AX184" i="5"/>
  <c r="BC184" i="5" s="1"/>
  <c r="BD184" i="5"/>
  <c r="BF184" i="5"/>
  <c r="BH184" i="5"/>
  <c r="AD184" i="5" s="1"/>
  <c r="BJ184" i="5"/>
  <c r="L185" i="5"/>
  <c r="Z185" i="5"/>
  <c r="AB185" i="5"/>
  <c r="AC185" i="5"/>
  <c r="AF185" i="5"/>
  <c r="AG185" i="5"/>
  <c r="AH185" i="5"/>
  <c r="AJ185" i="5"/>
  <c r="AK185" i="5"/>
  <c r="AT183" i="5" s="1"/>
  <c r="AL185" i="5"/>
  <c r="AO185" i="5"/>
  <c r="AP185" i="5"/>
  <c r="AW185" i="5"/>
  <c r="AX185" i="5"/>
  <c r="BD185" i="5"/>
  <c r="BF185" i="5"/>
  <c r="BH185" i="5"/>
  <c r="AD185" i="5" s="1"/>
  <c r="BI185" i="5"/>
  <c r="AE185" i="5" s="1"/>
  <c r="BJ185" i="5"/>
  <c r="L186" i="5"/>
  <c r="Z186" i="5"/>
  <c r="AB186" i="5"/>
  <c r="AC186" i="5"/>
  <c r="AF186" i="5"/>
  <c r="AG186" i="5"/>
  <c r="AH186" i="5"/>
  <c r="AJ186" i="5"/>
  <c r="AK186" i="5"/>
  <c r="AL186" i="5"/>
  <c r="AO186" i="5"/>
  <c r="AW186" i="5" s="1"/>
  <c r="AP186" i="5"/>
  <c r="AX186" i="5" s="1"/>
  <c r="BC186" i="5"/>
  <c r="BD186" i="5"/>
  <c r="BF186" i="5"/>
  <c r="BI186" i="5"/>
  <c r="AE186" i="5" s="1"/>
  <c r="BJ186" i="5"/>
  <c r="L189" i="5"/>
  <c r="AL189" i="5" s="1"/>
  <c r="AB189" i="5"/>
  <c r="AC189" i="5"/>
  <c r="AD189" i="5"/>
  <c r="AE189" i="5"/>
  <c r="AF189" i="5"/>
  <c r="AG189" i="5"/>
  <c r="AH189" i="5"/>
  <c r="AJ189" i="5"/>
  <c r="AK189" i="5"/>
  <c r="AO189" i="5"/>
  <c r="AW189" i="5" s="1"/>
  <c r="AP189" i="5"/>
  <c r="BD189" i="5"/>
  <c r="BF189" i="5"/>
  <c r="BJ189" i="5"/>
  <c r="Z189" i="5" s="1"/>
  <c r="L191" i="5"/>
  <c r="AL191" i="5" s="1"/>
  <c r="Z191" i="5"/>
  <c r="AB191" i="5"/>
  <c r="AC191" i="5"/>
  <c r="AF191" i="5"/>
  <c r="AG191" i="5"/>
  <c r="AH191" i="5"/>
  <c r="AJ191" i="5"/>
  <c r="AK191" i="5"/>
  <c r="AO191" i="5"/>
  <c r="AP191" i="5"/>
  <c r="AX191" i="5" s="1"/>
  <c r="AV191" i="5" s="1"/>
  <c r="AW191" i="5"/>
  <c r="BD191" i="5"/>
  <c r="BF191" i="5"/>
  <c r="BH191" i="5"/>
  <c r="AD191" i="5" s="1"/>
  <c r="BJ191" i="5"/>
  <c r="L193" i="5"/>
  <c r="Z193" i="5"/>
  <c r="AB193" i="5"/>
  <c r="AC193" i="5"/>
  <c r="AF193" i="5"/>
  <c r="AG193" i="5"/>
  <c r="AH193" i="5"/>
  <c r="AJ193" i="5"/>
  <c r="AK193" i="5"/>
  <c r="AL193" i="5"/>
  <c r="AO193" i="5"/>
  <c r="AP193" i="5"/>
  <c r="AW193" i="5"/>
  <c r="AX193" i="5"/>
  <c r="BD193" i="5"/>
  <c r="BF193" i="5"/>
  <c r="BH193" i="5"/>
  <c r="AD193" i="5" s="1"/>
  <c r="BI193" i="5"/>
  <c r="AE193" i="5" s="1"/>
  <c r="BJ193" i="5"/>
  <c r="L195" i="5"/>
  <c r="AL195" i="5" s="1"/>
  <c r="Z195" i="5"/>
  <c r="AB195" i="5"/>
  <c r="AC195" i="5"/>
  <c r="AF195" i="5"/>
  <c r="AG195" i="5"/>
  <c r="AH195" i="5"/>
  <c r="AJ195" i="5"/>
  <c r="AK195" i="5"/>
  <c r="AO195" i="5"/>
  <c r="AW195" i="5" s="1"/>
  <c r="AP195" i="5"/>
  <c r="BD195" i="5"/>
  <c r="BF195" i="5"/>
  <c r="BH195" i="5"/>
  <c r="AD195" i="5" s="1"/>
  <c r="BJ195" i="5"/>
  <c r="L197" i="5"/>
  <c r="Z197" i="5"/>
  <c r="AB197" i="5"/>
  <c r="AC197" i="5"/>
  <c r="AF197" i="5"/>
  <c r="AG197" i="5"/>
  <c r="AH197" i="5"/>
  <c r="AJ197" i="5"/>
  <c r="AK197" i="5"/>
  <c r="AL197" i="5"/>
  <c r="AO197" i="5"/>
  <c r="AW197" i="5" s="1"/>
  <c r="AP197" i="5"/>
  <c r="AX197" i="5"/>
  <c r="BD197" i="5"/>
  <c r="BF197" i="5"/>
  <c r="BH197" i="5"/>
  <c r="AD197" i="5" s="1"/>
  <c r="BI197" i="5"/>
  <c r="AE197" i="5" s="1"/>
  <c r="BJ197" i="5"/>
  <c r="L199" i="5"/>
  <c r="Z199" i="5"/>
  <c r="AB199" i="5"/>
  <c r="AC199" i="5"/>
  <c r="AF199" i="5"/>
  <c r="AG199" i="5"/>
  <c r="AH199" i="5"/>
  <c r="AJ199" i="5"/>
  <c r="AS190" i="5" s="1"/>
  <c r="AK199" i="5"/>
  <c r="AL199" i="5"/>
  <c r="AO199" i="5"/>
  <c r="AP199" i="5"/>
  <c r="AX199" i="5" s="1"/>
  <c r="BD199" i="5"/>
  <c r="BF199" i="5"/>
  <c r="BI199" i="5"/>
  <c r="AE199" i="5" s="1"/>
  <c r="BJ199" i="5"/>
  <c r="L200" i="5"/>
  <c r="Z200" i="5"/>
  <c r="AB200" i="5"/>
  <c r="AC200" i="5"/>
  <c r="AF200" i="5"/>
  <c r="AG200" i="5"/>
  <c r="AH200" i="5"/>
  <c r="AJ200" i="5"/>
  <c r="AK200" i="5"/>
  <c r="AL200" i="5"/>
  <c r="AO200" i="5"/>
  <c r="AP200" i="5"/>
  <c r="AX200" i="5" s="1"/>
  <c r="AW200" i="5"/>
  <c r="BD200" i="5"/>
  <c r="BF200" i="5"/>
  <c r="BH200" i="5"/>
  <c r="AD200" i="5" s="1"/>
  <c r="BJ200" i="5"/>
  <c r="L202" i="5"/>
  <c r="AL202" i="5" s="1"/>
  <c r="Z202" i="5"/>
  <c r="AB202" i="5"/>
  <c r="AC202" i="5"/>
  <c r="AF202" i="5"/>
  <c r="AG202" i="5"/>
  <c r="AH202" i="5"/>
  <c r="AJ202" i="5"/>
  <c r="AK202" i="5"/>
  <c r="AO202" i="5"/>
  <c r="AP202" i="5"/>
  <c r="AW202" i="5"/>
  <c r="BD202" i="5"/>
  <c r="BF202" i="5"/>
  <c r="BH202" i="5"/>
  <c r="AD202" i="5" s="1"/>
  <c r="BJ202" i="5"/>
  <c r="L204" i="5"/>
  <c r="AL204" i="5" s="1"/>
  <c r="Z204" i="5"/>
  <c r="AB204" i="5"/>
  <c r="AC204" i="5"/>
  <c r="AD204" i="5"/>
  <c r="AF204" i="5"/>
  <c r="AG204" i="5"/>
  <c r="AH204" i="5"/>
  <c r="AJ204" i="5"/>
  <c r="AK204" i="5"/>
  <c r="AO204" i="5"/>
  <c r="AP204" i="5"/>
  <c r="AX204" i="5" s="1"/>
  <c r="AW204" i="5"/>
  <c r="BD204" i="5"/>
  <c r="BF204" i="5"/>
  <c r="BH204" i="5"/>
  <c r="BI204" i="5"/>
  <c r="AE204" i="5" s="1"/>
  <c r="BJ204" i="5"/>
  <c r="L206" i="5"/>
  <c r="AL206" i="5" s="1"/>
  <c r="AB206" i="5"/>
  <c r="AC206" i="5"/>
  <c r="AD206" i="5"/>
  <c r="AE206" i="5"/>
  <c r="AF206" i="5"/>
  <c r="AG206" i="5"/>
  <c r="AH206" i="5"/>
  <c r="AJ206" i="5"/>
  <c r="AK206" i="5"/>
  <c r="AO206" i="5"/>
  <c r="AW206" i="5" s="1"/>
  <c r="AP206" i="5"/>
  <c r="AX206" i="5"/>
  <c r="BD206" i="5"/>
  <c r="BF206" i="5"/>
  <c r="BH206" i="5"/>
  <c r="BI206" i="5"/>
  <c r="BJ206" i="5"/>
  <c r="Z206" i="5" s="1"/>
  <c r="L208" i="5"/>
  <c r="Z208" i="5"/>
  <c r="AB208" i="5"/>
  <c r="AC208" i="5"/>
  <c r="AF208" i="5"/>
  <c r="AG208" i="5"/>
  <c r="AH208" i="5"/>
  <c r="AJ208" i="5"/>
  <c r="AK208" i="5"/>
  <c r="AO208" i="5"/>
  <c r="AP208" i="5"/>
  <c r="AW208" i="5"/>
  <c r="BD208" i="5"/>
  <c r="BF208" i="5"/>
  <c r="BH208" i="5"/>
  <c r="AD208" i="5" s="1"/>
  <c r="BJ208" i="5"/>
  <c r="L209" i="5"/>
  <c r="AL209" i="5" s="1"/>
  <c r="Z209" i="5"/>
  <c r="AB209" i="5"/>
  <c r="AC209" i="5"/>
  <c r="AF209" i="5"/>
  <c r="AG209" i="5"/>
  <c r="AH209" i="5"/>
  <c r="AJ209" i="5"/>
  <c r="AK209" i="5"/>
  <c r="AO209" i="5"/>
  <c r="AW209" i="5" s="1"/>
  <c r="AP209" i="5"/>
  <c r="AV209" i="5"/>
  <c r="AX209" i="5"/>
  <c r="BC209" i="5"/>
  <c r="BD209" i="5"/>
  <c r="BF209" i="5"/>
  <c r="BH209" i="5"/>
  <c r="AD209" i="5" s="1"/>
  <c r="BI209" i="5"/>
  <c r="AE209" i="5" s="1"/>
  <c r="BJ209" i="5"/>
  <c r="L210" i="5"/>
  <c r="Z210" i="5"/>
  <c r="AB210" i="5"/>
  <c r="AC210" i="5"/>
  <c r="AF210" i="5"/>
  <c r="AG210" i="5"/>
  <c r="AH210" i="5"/>
  <c r="AJ210" i="5"/>
  <c r="AK210" i="5"/>
  <c r="AL210" i="5"/>
  <c r="AO210" i="5"/>
  <c r="AP210" i="5"/>
  <c r="AX210" i="5" s="1"/>
  <c r="AW210" i="5"/>
  <c r="BD210" i="5"/>
  <c r="BF210" i="5"/>
  <c r="BH210" i="5"/>
  <c r="AD210" i="5" s="1"/>
  <c r="BI210" i="5"/>
  <c r="AE210" i="5" s="1"/>
  <c r="BJ210" i="5"/>
  <c r="L211" i="5"/>
  <c r="Z211" i="5"/>
  <c r="AB211" i="5"/>
  <c r="AC211" i="5"/>
  <c r="AF211" i="5"/>
  <c r="AG211" i="5"/>
  <c r="AH211" i="5"/>
  <c r="AJ211" i="5"/>
  <c r="AK211" i="5"/>
  <c r="AL211" i="5"/>
  <c r="AO211" i="5"/>
  <c r="AW211" i="5" s="1"/>
  <c r="AP211" i="5"/>
  <c r="AX211" i="5"/>
  <c r="BD211" i="5"/>
  <c r="BF211" i="5"/>
  <c r="BI211" i="5"/>
  <c r="AE211" i="5" s="1"/>
  <c r="BJ211" i="5"/>
  <c r="L212" i="5"/>
  <c r="Z212" i="5"/>
  <c r="AB212" i="5"/>
  <c r="AC212" i="5"/>
  <c r="AF212" i="5"/>
  <c r="AG212" i="5"/>
  <c r="AH212" i="5"/>
  <c r="AJ212" i="5"/>
  <c r="AK212" i="5"/>
  <c r="AL212" i="5"/>
  <c r="AO212" i="5"/>
  <c r="AP212" i="5"/>
  <c r="BD212" i="5"/>
  <c r="BF212" i="5"/>
  <c r="BJ212" i="5"/>
  <c r="L213" i="5"/>
  <c r="AL213" i="5" s="1"/>
  <c r="Z213" i="5"/>
  <c r="AB213" i="5"/>
  <c r="AC213" i="5"/>
  <c r="AF213" i="5"/>
  <c r="AG213" i="5"/>
  <c r="AH213" i="5"/>
  <c r="AJ213" i="5"/>
  <c r="AK213" i="5"/>
  <c r="AO213" i="5"/>
  <c r="AW213" i="5" s="1"/>
  <c r="BC213" i="5" s="1"/>
  <c r="AP213" i="5"/>
  <c r="AX213" i="5" s="1"/>
  <c r="BD213" i="5"/>
  <c r="BF213" i="5"/>
  <c r="BH213" i="5"/>
  <c r="AD213" i="5" s="1"/>
  <c r="BI213" i="5"/>
  <c r="AE213" i="5" s="1"/>
  <c r="BJ213" i="5"/>
  <c r="L215" i="5"/>
  <c r="Z215" i="5"/>
  <c r="AB215" i="5"/>
  <c r="AC215" i="5"/>
  <c r="AF215" i="5"/>
  <c r="AG215" i="5"/>
  <c r="AH215" i="5"/>
  <c r="AJ215" i="5"/>
  <c r="AK215" i="5"/>
  <c r="AL215" i="5"/>
  <c r="AO215" i="5"/>
  <c r="AP215" i="5"/>
  <c r="AX215" i="5" s="1"/>
  <c r="AW215" i="5"/>
  <c r="BC215" i="5" s="1"/>
  <c r="BD215" i="5"/>
  <c r="BF215" i="5"/>
  <c r="BH215" i="5"/>
  <c r="AD215" i="5" s="1"/>
  <c r="BI215" i="5"/>
  <c r="AE215" i="5" s="1"/>
  <c r="BJ215" i="5"/>
  <c r="L216" i="5"/>
  <c r="AL216" i="5" s="1"/>
  <c r="Z216" i="5"/>
  <c r="AB216" i="5"/>
  <c r="AC216" i="5"/>
  <c r="AD216" i="5"/>
  <c r="AF216" i="5"/>
  <c r="AG216" i="5"/>
  <c r="AH216" i="5"/>
  <c r="AJ216" i="5"/>
  <c r="AK216" i="5"/>
  <c r="AO216" i="5"/>
  <c r="BH216" i="5" s="1"/>
  <c r="AP216" i="5"/>
  <c r="AV216" i="5"/>
  <c r="AW216" i="5"/>
  <c r="AX216" i="5"/>
  <c r="BD216" i="5"/>
  <c r="BF216" i="5"/>
  <c r="BI216" i="5"/>
  <c r="AE216" i="5" s="1"/>
  <c r="BJ216" i="5"/>
  <c r="L218" i="5"/>
  <c r="AL218" i="5" s="1"/>
  <c r="Z218" i="5"/>
  <c r="AB218" i="5"/>
  <c r="AC218" i="5"/>
  <c r="AD218" i="5"/>
  <c r="AE218" i="5"/>
  <c r="AF218" i="5"/>
  <c r="AG218" i="5"/>
  <c r="AH218" i="5"/>
  <c r="AJ218" i="5"/>
  <c r="AK218" i="5"/>
  <c r="AO218" i="5"/>
  <c r="AP218" i="5"/>
  <c r="AW218" i="5"/>
  <c r="AX218" i="5"/>
  <c r="BC218" i="5"/>
  <c r="BD218" i="5"/>
  <c r="BF218" i="5"/>
  <c r="BH218" i="5"/>
  <c r="BI218" i="5"/>
  <c r="BJ218" i="5"/>
  <c r="L220" i="5"/>
  <c r="AL220" i="5" s="1"/>
  <c r="Z220" i="5"/>
  <c r="AB220" i="5"/>
  <c r="AC220" i="5"/>
  <c r="AF220" i="5"/>
  <c r="AG220" i="5"/>
  <c r="AH220" i="5"/>
  <c r="AJ220" i="5"/>
  <c r="AK220" i="5"/>
  <c r="AT219" i="5" s="1"/>
  <c r="AO220" i="5"/>
  <c r="AW220" i="5" s="1"/>
  <c r="AP220" i="5"/>
  <c r="AX220" i="5" s="1"/>
  <c r="BD220" i="5"/>
  <c r="BF220" i="5"/>
  <c r="BI220" i="5"/>
  <c r="AE220" i="5" s="1"/>
  <c r="BJ220" i="5"/>
  <c r="L222" i="5"/>
  <c r="Z222" i="5"/>
  <c r="AB222" i="5"/>
  <c r="AC222" i="5"/>
  <c r="AF222" i="5"/>
  <c r="AG222" i="5"/>
  <c r="AH222" i="5"/>
  <c r="AJ222" i="5"/>
  <c r="AK222" i="5"/>
  <c r="AL222" i="5"/>
  <c r="AO222" i="5"/>
  <c r="AP222" i="5"/>
  <c r="AW222" i="5"/>
  <c r="BD222" i="5"/>
  <c r="BF222" i="5"/>
  <c r="BH222" i="5"/>
  <c r="AD222" i="5" s="1"/>
  <c r="BJ222" i="5"/>
  <c r="L223" i="5"/>
  <c r="Z223" i="5"/>
  <c r="AB223" i="5"/>
  <c r="AC223" i="5"/>
  <c r="AF223" i="5"/>
  <c r="AG223" i="5"/>
  <c r="AH223" i="5"/>
  <c r="AJ223" i="5"/>
  <c r="AK223" i="5"/>
  <c r="AO223" i="5"/>
  <c r="AW223" i="5" s="1"/>
  <c r="BC223" i="5" s="1"/>
  <c r="AP223" i="5"/>
  <c r="AX223" i="5"/>
  <c r="BD223" i="5"/>
  <c r="BF223" i="5"/>
  <c r="BH223" i="5"/>
  <c r="AD223" i="5" s="1"/>
  <c r="BI223" i="5"/>
  <c r="AE223" i="5" s="1"/>
  <c r="BJ223" i="5"/>
  <c r="L225" i="5"/>
  <c r="AL225" i="5" s="1"/>
  <c r="Z225" i="5"/>
  <c r="AB225" i="5"/>
  <c r="AC225" i="5"/>
  <c r="AE225" i="5"/>
  <c r="AF225" i="5"/>
  <c r="AG225" i="5"/>
  <c r="AH225" i="5"/>
  <c r="AJ225" i="5"/>
  <c r="AK225" i="5"/>
  <c r="AO225" i="5"/>
  <c r="AP225" i="5"/>
  <c r="BI225" i="5" s="1"/>
  <c r="AW225" i="5"/>
  <c r="AX225" i="5"/>
  <c r="BD225" i="5"/>
  <c r="BF225" i="5"/>
  <c r="BH225" i="5"/>
  <c r="AD225" i="5" s="1"/>
  <c r="BJ225" i="5"/>
  <c r="L228" i="5"/>
  <c r="AL228" i="5" s="1"/>
  <c r="AB228" i="5"/>
  <c r="AC228" i="5"/>
  <c r="AD228" i="5"/>
  <c r="AE228" i="5"/>
  <c r="AF228" i="5"/>
  <c r="AG228" i="5"/>
  <c r="AH228" i="5"/>
  <c r="AJ228" i="5"/>
  <c r="AK228" i="5"/>
  <c r="AO228" i="5"/>
  <c r="AW228" i="5" s="1"/>
  <c r="AP228" i="5"/>
  <c r="AX228" i="5"/>
  <c r="BD228" i="5"/>
  <c r="BF228" i="5"/>
  <c r="BH228" i="5"/>
  <c r="BI228" i="5"/>
  <c r="BJ228" i="5"/>
  <c r="Z228" i="5" s="1"/>
  <c r="L230" i="5"/>
  <c r="Z230" i="5"/>
  <c r="AB230" i="5"/>
  <c r="AC230" i="5"/>
  <c r="AF230" i="5"/>
  <c r="AG230" i="5"/>
  <c r="AH230" i="5"/>
  <c r="AJ230" i="5"/>
  <c r="AK230" i="5"/>
  <c r="AL230" i="5"/>
  <c r="AO230" i="5"/>
  <c r="AP230" i="5"/>
  <c r="AX230" i="5" s="1"/>
  <c r="AV230" i="5" s="1"/>
  <c r="AW230" i="5"/>
  <c r="BD230" i="5"/>
  <c r="BF230" i="5"/>
  <c r="BH230" i="5"/>
  <c r="AD230" i="5" s="1"/>
  <c r="BJ230" i="5"/>
  <c r="L232" i="5"/>
  <c r="AL232" i="5" s="1"/>
  <c r="Z232" i="5"/>
  <c r="AB232" i="5"/>
  <c r="AC232" i="5"/>
  <c r="AD232" i="5"/>
  <c r="AF232" i="5"/>
  <c r="AG232" i="5"/>
  <c r="AH232" i="5"/>
  <c r="AJ232" i="5"/>
  <c r="AK232" i="5"/>
  <c r="AO232" i="5"/>
  <c r="AP232" i="5"/>
  <c r="AV232" i="5"/>
  <c r="AW232" i="5"/>
  <c r="AX232" i="5"/>
  <c r="BD232" i="5"/>
  <c r="BF232" i="5"/>
  <c r="BH232" i="5"/>
  <c r="BI232" i="5"/>
  <c r="AE232" i="5" s="1"/>
  <c r="BJ232" i="5"/>
  <c r="L234" i="5"/>
  <c r="AL234" i="5" s="1"/>
  <c r="Z234" i="5"/>
  <c r="AB234" i="5"/>
  <c r="AC234" i="5"/>
  <c r="AF234" i="5"/>
  <c r="AG234" i="5"/>
  <c r="AH234" i="5"/>
  <c r="AJ234" i="5"/>
  <c r="AS229" i="5" s="1"/>
  <c r="AK234" i="5"/>
  <c r="AO234" i="5"/>
  <c r="AP234" i="5"/>
  <c r="AX234" i="5" s="1"/>
  <c r="AW234" i="5"/>
  <c r="BD234" i="5"/>
  <c r="BF234" i="5"/>
  <c r="BH234" i="5"/>
  <c r="AD234" i="5" s="1"/>
  <c r="BI234" i="5"/>
  <c r="AE234" i="5" s="1"/>
  <c r="BJ234" i="5"/>
  <c r="L236" i="5"/>
  <c r="AL236" i="5" s="1"/>
  <c r="Z236" i="5"/>
  <c r="AB236" i="5"/>
  <c r="AC236" i="5"/>
  <c r="AF236" i="5"/>
  <c r="AG236" i="5"/>
  <c r="AH236" i="5"/>
  <c r="AJ236" i="5"/>
  <c r="AK236" i="5"/>
  <c r="AO236" i="5"/>
  <c r="AW236" i="5" s="1"/>
  <c r="AP236" i="5"/>
  <c r="AX236" i="5"/>
  <c r="AV236" i="5" s="1"/>
  <c r="BC236" i="5"/>
  <c r="BD236" i="5"/>
  <c r="BF236" i="5"/>
  <c r="BH236" i="5"/>
  <c r="AD236" i="5" s="1"/>
  <c r="BI236" i="5"/>
  <c r="AE236" i="5" s="1"/>
  <c r="BJ236" i="5"/>
  <c r="L237" i="5"/>
  <c r="Z237" i="5"/>
  <c r="AB237" i="5"/>
  <c r="AC237" i="5"/>
  <c r="AF237" i="5"/>
  <c r="AG237" i="5"/>
  <c r="AH237" i="5"/>
  <c r="AJ237" i="5"/>
  <c r="AK237" i="5"/>
  <c r="AL237" i="5"/>
  <c r="AO237" i="5"/>
  <c r="AP237" i="5"/>
  <c r="AX237" i="5" s="1"/>
  <c r="AW237" i="5"/>
  <c r="BD237" i="5"/>
  <c r="BF237" i="5"/>
  <c r="BH237" i="5"/>
  <c r="AD237" i="5" s="1"/>
  <c r="BI237" i="5"/>
  <c r="AE237" i="5" s="1"/>
  <c r="BJ237" i="5"/>
  <c r="L238" i="5"/>
  <c r="Z238" i="5"/>
  <c r="AB238" i="5"/>
  <c r="AC238" i="5"/>
  <c r="AF238" i="5"/>
  <c r="AG238" i="5"/>
  <c r="AH238" i="5"/>
  <c r="AJ238" i="5"/>
  <c r="AK238" i="5"/>
  <c r="AL238" i="5"/>
  <c r="AO238" i="5"/>
  <c r="AW238" i="5" s="1"/>
  <c r="AP238" i="5"/>
  <c r="AX238" i="5"/>
  <c r="BD238" i="5"/>
  <c r="BF238" i="5"/>
  <c r="BH238" i="5"/>
  <c r="AD238" i="5" s="1"/>
  <c r="BI238" i="5"/>
  <c r="AE238" i="5" s="1"/>
  <c r="BJ238" i="5"/>
  <c r="L239" i="5"/>
  <c r="Z239" i="5"/>
  <c r="AB239" i="5"/>
  <c r="AC239" i="5"/>
  <c r="AF239" i="5"/>
  <c r="AG239" i="5"/>
  <c r="AH239" i="5"/>
  <c r="AJ239" i="5"/>
  <c r="AK239" i="5"/>
  <c r="AL239" i="5"/>
  <c r="AO239" i="5"/>
  <c r="AP239" i="5"/>
  <c r="BD239" i="5"/>
  <c r="BF239" i="5"/>
  <c r="BJ239" i="5"/>
  <c r="L240" i="5"/>
  <c r="AL240" i="5" s="1"/>
  <c r="Z240" i="5"/>
  <c r="AB240" i="5"/>
  <c r="AC240" i="5"/>
  <c r="AF240" i="5"/>
  <c r="AG240" i="5"/>
  <c r="AH240" i="5"/>
  <c r="AJ240" i="5"/>
  <c r="AK240" i="5"/>
  <c r="AO240" i="5"/>
  <c r="AW240" i="5" s="1"/>
  <c r="AP240" i="5"/>
  <c r="AX240" i="5" s="1"/>
  <c r="BD240" i="5"/>
  <c r="BF240" i="5"/>
  <c r="BH240" i="5"/>
  <c r="AD240" i="5" s="1"/>
  <c r="BI240" i="5"/>
  <c r="AE240" i="5" s="1"/>
  <c r="BJ240" i="5"/>
  <c r="L242" i="5"/>
  <c r="Z242" i="5"/>
  <c r="AB242" i="5"/>
  <c r="AC242" i="5"/>
  <c r="AF242" i="5"/>
  <c r="AG242" i="5"/>
  <c r="AH242" i="5"/>
  <c r="AJ242" i="5"/>
  <c r="AK242" i="5"/>
  <c r="AL242" i="5"/>
  <c r="AO242" i="5"/>
  <c r="AP242" i="5"/>
  <c r="AW242" i="5"/>
  <c r="BD242" i="5"/>
  <c r="BF242" i="5"/>
  <c r="BH242" i="5"/>
  <c r="AD242" i="5" s="1"/>
  <c r="BJ242" i="5"/>
  <c r="L243" i="5"/>
  <c r="Z243" i="5"/>
  <c r="AB243" i="5"/>
  <c r="AC243" i="5"/>
  <c r="AF243" i="5"/>
  <c r="AG243" i="5"/>
  <c r="AH243" i="5"/>
  <c r="AJ243" i="5"/>
  <c r="AK243" i="5"/>
  <c r="AL243" i="5"/>
  <c r="AO243" i="5"/>
  <c r="AW243" i="5" s="1"/>
  <c r="AV243" i="5" s="1"/>
  <c r="AP243" i="5"/>
  <c r="AX243" i="5"/>
  <c r="BD243" i="5"/>
  <c r="BF243" i="5"/>
  <c r="BH243" i="5"/>
  <c r="AD243" i="5" s="1"/>
  <c r="BI243" i="5"/>
  <c r="AE243" i="5" s="1"/>
  <c r="BJ243" i="5"/>
  <c r="L245" i="5"/>
  <c r="Z245" i="5"/>
  <c r="AB245" i="5"/>
  <c r="AC245" i="5"/>
  <c r="AF245" i="5"/>
  <c r="AG245" i="5"/>
  <c r="AH245" i="5"/>
  <c r="AJ245" i="5"/>
  <c r="AK245" i="5"/>
  <c r="AL245" i="5"/>
  <c r="AO245" i="5"/>
  <c r="AW245" i="5" s="1"/>
  <c r="AP245" i="5"/>
  <c r="AX245" i="5" s="1"/>
  <c r="BD245" i="5"/>
  <c r="BF245" i="5"/>
  <c r="BJ245" i="5"/>
  <c r="L246" i="5"/>
  <c r="Z246" i="5"/>
  <c r="AB246" i="5"/>
  <c r="AC246" i="5"/>
  <c r="AF246" i="5"/>
  <c r="AG246" i="5"/>
  <c r="AH246" i="5"/>
  <c r="AJ246" i="5"/>
  <c r="AK246" i="5"/>
  <c r="AL246" i="5"/>
  <c r="AO246" i="5"/>
  <c r="AW246" i="5" s="1"/>
  <c r="AV246" i="5" s="1"/>
  <c r="AP246" i="5"/>
  <c r="AX246" i="5" s="1"/>
  <c r="BD246" i="5"/>
  <c r="BF246" i="5"/>
  <c r="BH246" i="5"/>
  <c r="AD246" i="5" s="1"/>
  <c r="BI246" i="5"/>
  <c r="AE246" i="5" s="1"/>
  <c r="BJ246" i="5"/>
  <c r="L248" i="5"/>
  <c r="Z248" i="5"/>
  <c r="AB248" i="5"/>
  <c r="AC248" i="5"/>
  <c r="AF248" i="5"/>
  <c r="AG248" i="5"/>
  <c r="AH248" i="5"/>
  <c r="AJ248" i="5"/>
  <c r="AK248" i="5"/>
  <c r="AL248" i="5"/>
  <c r="AO248" i="5"/>
  <c r="BH248" i="5" s="1"/>
  <c r="AD248" i="5" s="1"/>
  <c r="AP248" i="5"/>
  <c r="AW248" i="5"/>
  <c r="BD248" i="5"/>
  <c r="BF248" i="5"/>
  <c r="BJ248" i="5"/>
  <c r="L249" i="5"/>
  <c r="Z249" i="5"/>
  <c r="AB249" i="5"/>
  <c r="AC249" i="5"/>
  <c r="AF249" i="5"/>
  <c r="AG249" i="5"/>
  <c r="AH249" i="5"/>
  <c r="AJ249" i="5"/>
  <c r="AK249" i="5"/>
  <c r="AL249" i="5"/>
  <c r="AO249" i="5"/>
  <c r="AP249" i="5"/>
  <c r="BI249" i="5" s="1"/>
  <c r="AE249" i="5" s="1"/>
  <c r="AW249" i="5"/>
  <c r="AX249" i="5"/>
  <c r="BD249" i="5"/>
  <c r="BF249" i="5"/>
  <c r="BH249" i="5"/>
  <c r="AD249" i="5" s="1"/>
  <c r="BJ249" i="5"/>
  <c r="L250" i="5"/>
  <c r="Z250" i="5"/>
  <c r="AB250" i="5"/>
  <c r="AC250" i="5"/>
  <c r="AF250" i="5"/>
  <c r="AG250" i="5"/>
  <c r="AH250" i="5"/>
  <c r="AJ250" i="5"/>
  <c r="AK250" i="5"/>
  <c r="AL250" i="5"/>
  <c r="AO250" i="5"/>
  <c r="AW250" i="5" s="1"/>
  <c r="AV250" i="5" s="1"/>
  <c r="AP250" i="5"/>
  <c r="AX250" i="5" s="1"/>
  <c r="BC250" i="5"/>
  <c r="BD250" i="5"/>
  <c r="BF250" i="5"/>
  <c r="BH250" i="5"/>
  <c r="AD250" i="5" s="1"/>
  <c r="BI250" i="5"/>
  <c r="AE250" i="5" s="1"/>
  <c r="BJ250" i="5"/>
  <c r="L252" i="5"/>
  <c r="AL252" i="5" s="1"/>
  <c r="AB252" i="5"/>
  <c r="AC252" i="5"/>
  <c r="AD252" i="5"/>
  <c r="AE252" i="5"/>
  <c r="AF252" i="5"/>
  <c r="AG252" i="5"/>
  <c r="AH252" i="5"/>
  <c r="AJ252" i="5"/>
  <c r="AK252" i="5"/>
  <c r="AO252" i="5"/>
  <c r="BH252" i="5" s="1"/>
  <c r="AP252" i="5"/>
  <c r="AX252" i="5" s="1"/>
  <c r="AW252" i="5"/>
  <c r="BD252" i="5"/>
  <c r="BF252" i="5"/>
  <c r="BJ252" i="5"/>
  <c r="Z252" i="5" s="1"/>
  <c r="L254" i="5"/>
  <c r="AL254" i="5" s="1"/>
  <c r="AU253" i="5" s="1"/>
  <c r="Z254" i="5"/>
  <c r="AB254" i="5"/>
  <c r="AC254" i="5"/>
  <c r="AF254" i="5"/>
  <c r="AG254" i="5"/>
  <c r="AH254" i="5"/>
  <c r="AJ254" i="5"/>
  <c r="AS253" i="5" s="1"/>
  <c r="AK254" i="5"/>
  <c r="AT253" i="5" s="1"/>
  <c r="AO254" i="5"/>
  <c r="AW254" i="5" s="1"/>
  <c r="AV254" i="5" s="1"/>
  <c r="AP254" i="5"/>
  <c r="AX254" i="5"/>
  <c r="BC254" i="5"/>
  <c r="BD254" i="5"/>
  <c r="BF254" i="5"/>
  <c r="BH254" i="5"/>
  <c r="AD254" i="5" s="1"/>
  <c r="BI254" i="5"/>
  <c r="AE254" i="5" s="1"/>
  <c r="BJ254" i="5"/>
  <c r="L256" i="5"/>
  <c r="Z256" i="5"/>
  <c r="AB256" i="5"/>
  <c r="AC256" i="5"/>
  <c r="AF256" i="5"/>
  <c r="AG256" i="5"/>
  <c r="AH256" i="5"/>
  <c r="AJ256" i="5"/>
  <c r="AK256" i="5"/>
  <c r="AL256" i="5"/>
  <c r="AO256" i="5"/>
  <c r="AW256" i="5" s="1"/>
  <c r="AP256" i="5"/>
  <c r="BD256" i="5"/>
  <c r="BF256" i="5"/>
  <c r="BJ256" i="5"/>
  <c r="L259" i="5"/>
  <c r="Z259" i="5"/>
  <c r="AB259" i="5"/>
  <c r="AD259" i="5"/>
  <c r="AE259" i="5"/>
  <c r="AF259" i="5"/>
  <c r="AG259" i="5"/>
  <c r="AH259" i="5"/>
  <c r="AJ259" i="5"/>
  <c r="AK259" i="5"/>
  <c r="AO259" i="5"/>
  <c r="AP259" i="5"/>
  <c r="AW259" i="5"/>
  <c r="AV259" i="5" s="1"/>
  <c r="AX259" i="5"/>
  <c r="BC259" i="5"/>
  <c r="BD259" i="5"/>
  <c r="BF259" i="5"/>
  <c r="BH259" i="5"/>
  <c r="BI259" i="5"/>
  <c r="AC259" i="5" s="1"/>
  <c r="BJ259" i="5"/>
  <c r="L260" i="5"/>
  <c r="AL260" i="5" s="1"/>
  <c r="Z260" i="5"/>
  <c r="AB260" i="5"/>
  <c r="AC260" i="5"/>
  <c r="AD260" i="5"/>
  <c r="AE260" i="5"/>
  <c r="AF260" i="5"/>
  <c r="AG260" i="5"/>
  <c r="AH260" i="5"/>
  <c r="AJ260" i="5"/>
  <c r="AK260" i="5"/>
  <c r="AT258" i="5" s="1"/>
  <c r="AO260" i="5"/>
  <c r="AP260" i="5"/>
  <c r="AW260" i="5"/>
  <c r="AX260" i="5"/>
  <c r="BC260" i="5"/>
  <c r="BD260" i="5"/>
  <c r="BF260" i="5"/>
  <c r="BH260" i="5"/>
  <c r="BI260" i="5"/>
  <c r="BJ260" i="5"/>
  <c r="L261" i="5"/>
  <c r="Z261" i="5"/>
  <c r="AC261" i="5"/>
  <c r="AD261" i="5"/>
  <c r="AE261" i="5"/>
  <c r="AF261" i="5"/>
  <c r="AG261" i="5"/>
  <c r="AH261" i="5"/>
  <c r="AJ261" i="5"/>
  <c r="AK261" i="5"/>
  <c r="AL261" i="5"/>
  <c r="AO261" i="5"/>
  <c r="AP261" i="5"/>
  <c r="AX261" i="5"/>
  <c r="BD261" i="5"/>
  <c r="BF261" i="5"/>
  <c r="BI261" i="5"/>
  <c r="BJ261" i="5"/>
  <c r="L264" i="5"/>
  <c r="Z264" i="5"/>
  <c r="AD264" i="5"/>
  <c r="AE264" i="5"/>
  <c r="AF264" i="5"/>
  <c r="AG264" i="5"/>
  <c r="AH264" i="5"/>
  <c r="AJ264" i="5"/>
  <c r="AK264" i="5"/>
  <c r="AO264" i="5"/>
  <c r="AP264" i="5"/>
  <c r="AX264" i="5" s="1"/>
  <c r="AW264" i="5"/>
  <c r="BD264" i="5"/>
  <c r="BF264" i="5"/>
  <c r="BH264" i="5"/>
  <c r="AB264" i="5" s="1"/>
  <c r="BJ264" i="5"/>
  <c r="L266" i="5"/>
  <c r="AL266" i="5" s="1"/>
  <c r="Z266" i="5"/>
  <c r="AB266" i="5"/>
  <c r="AD266" i="5"/>
  <c r="AE266" i="5"/>
  <c r="AF266" i="5"/>
  <c r="AG266" i="5"/>
  <c r="AH266" i="5"/>
  <c r="AJ266" i="5"/>
  <c r="AS263" i="5" s="1"/>
  <c r="AK266" i="5"/>
  <c r="AO266" i="5"/>
  <c r="AP266" i="5"/>
  <c r="AW266" i="5"/>
  <c r="AV266" i="5" s="1"/>
  <c r="AX266" i="5"/>
  <c r="BC266" i="5"/>
  <c r="BD266" i="5"/>
  <c r="BF266" i="5"/>
  <c r="BH266" i="5"/>
  <c r="BI266" i="5"/>
  <c r="AC266" i="5" s="1"/>
  <c r="BJ266" i="5"/>
  <c r="L268" i="5"/>
  <c r="Z268" i="5"/>
  <c r="AB268" i="5"/>
  <c r="AC268" i="5"/>
  <c r="AD268" i="5"/>
  <c r="AE268" i="5"/>
  <c r="AF268" i="5"/>
  <c r="AG268" i="5"/>
  <c r="AH268" i="5"/>
  <c r="AJ268" i="5"/>
  <c r="AK268" i="5"/>
  <c r="AT263" i="5" s="1"/>
  <c r="AL268" i="5"/>
  <c r="AO268" i="5"/>
  <c r="AP268" i="5"/>
  <c r="AW268" i="5"/>
  <c r="AX268" i="5"/>
  <c r="BC268" i="5"/>
  <c r="BD268" i="5"/>
  <c r="BF268" i="5"/>
  <c r="BH268" i="5"/>
  <c r="BI268" i="5"/>
  <c r="BJ268" i="5"/>
  <c r="AS270" i="5"/>
  <c r="AT270" i="5"/>
  <c r="L271" i="5"/>
  <c r="AL271" i="5" s="1"/>
  <c r="AU270" i="5" s="1"/>
  <c r="Z271" i="5"/>
  <c r="AD271" i="5"/>
  <c r="AE271" i="5"/>
  <c r="AF271" i="5"/>
  <c r="AG271" i="5"/>
  <c r="AH271" i="5"/>
  <c r="AJ271" i="5"/>
  <c r="AK271" i="5"/>
  <c r="AO271" i="5"/>
  <c r="AP271" i="5"/>
  <c r="AX271" i="5" s="1"/>
  <c r="BD271" i="5"/>
  <c r="BF271" i="5"/>
  <c r="BI271" i="5"/>
  <c r="AC271" i="5" s="1"/>
  <c r="BJ271" i="5"/>
  <c r="L274" i="5"/>
  <c r="L37" i="1" s="1"/>
  <c r="N37" i="1" s="1"/>
  <c r="L275" i="5"/>
  <c r="Z275" i="5"/>
  <c r="AB275" i="5"/>
  <c r="AC275" i="5"/>
  <c r="AD275" i="5"/>
  <c r="AE275" i="5"/>
  <c r="AF275" i="5"/>
  <c r="AG275" i="5"/>
  <c r="AH275" i="5"/>
  <c r="AJ275" i="5"/>
  <c r="AS274" i="5" s="1"/>
  <c r="AK275" i="5"/>
  <c r="AT274" i="5" s="1"/>
  <c r="AL275" i="5"/>
  <c r="AU274" i="5" s="1"/>
  <c r="AO275" i="5"/>
  <c r="AP275" i="5"/>
  <c r="AX275" i="5" s="1"/>
  <c r="BD275" i="5"/>
  <c r="BF275" i="5"/>
  <c r="BI275" i="5"/>
  <c r="BJ275" i="5"/>
  <c r="L277" i="5"/>
  <c r="AB277" i="5"/>
  <c r="AC277" i="5"/>
  <c r="AD277" i="5"/>
  <c r="AE277" i="5"/>
  <c r="AF277" i="5"/>
  <c r="AG277" i="5"/>
  <c r="AH277" i="5"/>
  <c r="AJ277" i="5"/>
  <c r="AK277" i="5"/>
  <c r="AO277" i="5"/>
  <c r="AP277" i="5"/>
  <c r="AW277" i="5"/>
  <c r="AX277" i="5"/>
  <c r="BD277" i="5"/>
  <c r="BF277" i="5"/>
  <c r="BH277" i="5"/>
  <c r="BI277" i="5"/>
  <c r="BJ277" i="5"/>
  <c r="Z277" i="5" s="1"/>
  <c r="L278" i="5"/>
  <c r="AL278" i="5" s="1"/>
  <c r="Z278" i="5"/>
  <c r="AB278" i="5"/>
  <c r="AC278" i="5"/>
  <c r="AD278" i="5"/>
  <c r="AE278" i="5"/>
  <c r="AF278" i="5"/>
  <c r="AG278" i="5"/>
  <c r="AH278" i="5"/>
  <c r="AJ278" i="5"/>
  <c r="AK278" i="5"/>
  <c r="AO278" i="5"/>
  <c r="AP278" i="5"/>
  <c r="AW278" i="5"/>
  <c r="AX278" i="5"/>
  <c r="BC278" i="5"/>
  <c r="BD278" i="5"/>
  <c r="BF278" i="5"/>
  <c r="BH278" i="5"/>
  <c r="BI278" i="5"/>
  <c r="BJ278" i="5"/>
  <c r="L279" i="5"/>
  <c r="AL279" i="5" s="1"/>
  <c r="Z279" i="5"/>
  <c r="AB279" i="5"/>
  <c r="AC279" i="5"/>
  <c r="AD279" i="5"/>
  <c r="AE279" i="5"/>
  <c r="AF279" i="5"/>
  <c r="AG279" i="5"/>
  <c r="AH279" i="5"/>
  <c r="AJ279" i="5"/>
  <c r="AK279" i="5"/>
  <c r="AT276" i="5" s="1"/>
  <c r="AO279" i="5"/>
  <c r="AW279" i="5" s="1"/>
  <c r="AV279" i="5" s="1"/>
  <c r="AP279" i="5"/>
  <c r="AX279" i="5"/>
  <c r="BC279" i="5"/>
  <c r="BD279" i="5"/>
  <c r="BF279" i="5"/>
  <c r="BH279" i="5"/>
  <c r="BI279" i="5"/>
  <c r="BJ279" i="5"/>
  <c r="L281" i="5"/>
  <c r="Z281" i="5"/>
  <c r="AB281" i="5"/>
  <c r="AC281" i="5"/>
  <c r="AD281" i="5"/>
  <c r="AE281" i="5"/>
  <c r="AF281" i="5"/>
  <c r="AG281" i="5"/>
  <c r="AH281" i="5"/>
  <c r="AJ281" i="5"/>
  <c r="AK281" i="5"/>
  <c r="AL281" i="5"/>
  <c r="AO281" i="5"/>
  <c r="AP281" i="5"/>
  <c r="BD281" i="5"/>
  <c r="BF281" i="5"/>
  <c r="BJ281" i="5"/>
  <c r="AS283" i="5"/>
  <c r="L284" i="5"/>
  <c r="Z284" i="5"/>
  <c r="AD284" i="5"/>
  <c r="AE284" i="5"/>
  <c r="AF284" i="5"/>
  <c r="AG284" i="5"/>
  <c r="AH284" i="5"/>
  <c r="AJ284" i="5"/>
  <c r="AK284" i="5"/>
  <c r="AO284" i="5"/>
  <c r="AP284" i="5"/>
  <c r="AW284" i="5"/>
  <c r="AX284" i="5"/>
  <c r="BC284" i="5"/>
  <c r="BD284" i="5"/>
  <c r="BF284" i="5"/>
  <c r="BH284" i="5"/>
  <c r="AB284" i="5" s="1"/>
  <c r="BI284" i="5"/>
  <c r="AC284" i="5" s="1"/>
  <c r="BJ284" i="5"/>
  <c r="L286" i="5"/>
  <c r="AL286" i="5" s="1"/>
  <c r="Z286" i="5"/>
  <c r="AB286" i="5"/>
  <c r="AD286" i="5"/>
  <c r="AE286" i="5"/>
  <c r="AF286" i="5"/>
  <c r="AG286" i="5"/>
  <c r="AH286" i="5"/>
  <c r="AJ286" i="5"/>
  <c r="AK286" i="5"/>
  <c r="AT283" i="5" s="1"/>
  <c r="AO286" i="5"/>
  <c r="AP286" i="5"/>
  <c r="AV286" i="5"/>
  <c r="AW286" i="5"/>
  <c r="AX286" i="5"/>
  <c r="BC286" i="5"/>
  <c r="BD286" i="5"/>
  <c r="BF286" i="5"/>
  <c r="BH286" i="5"/>
  <c r="BI286" i="5"/>
  <c r="AC286" i="5" s="1"/>
  <c r="BJ286" i="5"/>
  <c r="L287" i="5"/>
  <c r="Z287" i="5"/>
  <c r="AB287" i="5"/>
  <c r="AC287" i="5"/>
  <c r="AD287" i="5"/>
  <c r="AE287" i="5"/>
  <c r="AF287" i="5"/>
  <c r="AG287" i="5"/>
  <c r="AH287" i="5"/>
  <c r="AJ287" i="5"/>
  <c r="AK287" i="5"/>
  <c r="AL287" i="5"/>
  <c r="AO287" i="5"/>
  <c r="AP287" i="5"/>
  <c r="AW287" i="5"/>
  <c r="BC287" i="5" s="1"/>
  <c r="AX287" i="5"/>
  <c r="BD287" i="5"/>
  <c r="BF287" i="5"/>
  <c r="BH287" i="5"/>
  <c r="BI287" i="5"/>
  <c r="BJ287" i="5"/>
  <c r="L288" i="5"/>
  <c r="AL288" i="5" s="1"/>
  <c r="Z288" i="5"/>
  <c r="AC288" i="5"/>
  <c r="AD288" i="5"/>
  <c r="AE288" i="5"/>
  <c r="AF288" i="5"/>
  <c r="AG288" i="5"/>
  <c r="AH288" i="5"/>
  <c r="AJ288" i="5"/>
  <c r="AK288" i="5"/>
  <c r="AO288" i="5"/>
  <c r="AW288" i="5" s="1"/>
  <c r="AP288" i="5"/>
  <c r="AX288" i="5"/>
  <c r="BC288" i="5" s="1"/>
  <c r="BD288" i="5"/>
  <c r="BF288" i="5"/>
  <c r="BI288" i="5"/>
  <c r="BJ288" i="5"/>
  <c r="L290" i="5"/>
  <c r="Z290" i="5"/>
  <c r="AB290" i="5"/>
  <c r="AD290" i="5"/>
  <c r="AE290" i="5"/>
  <c r="AF290" i="5"/>
  <c r="AG290" i="5"/>
  <c r="AH290" i="5"/>
  <c r="AJ290" i="5"/>
  <c r="AK290" i="5"/>
  <c r="AL290" i="5"/>
  <c r="AO290" i="5"/>
  <c r="AW290" i="5" s="1"/>
  <c r="AV290" i="5" s="1"/>
  <c r="AP290" i="5"/>
  <c r="AX290" i="5" s="1"/>
  <c r="BD290" i="5"/>
  <c r="BF290" i="5"/>
  <c r="BH290" i="5"/>
  <c r="BI290" i="5"/>
  <c r="AC290" i="5" s="1"/>
  <c r="BJ290" i="5"/>
  <c r="L292" i="5"/>
  <c r="Z292" i="5"/>
  <c r="AD292" i="5"/>
  <c r="AE292" i="5"/>
  <c r="AF292" i="5"/>
  <c r="AG292" i="5"/>
  <c r="AH292" i="5"/>
  <c r="AJ292" i="5"/>
  <c r="AK292" i="5"/>
  <c r="AL292" i="5"/>
  <c r="AO292" i="5"/>
  <c r="AW292" i="5" s="1"/>
  <c r="AP292" i="5"/>
  <c r="BD292" i="5"/>
  <c r="BF292" i="5"/>
  <c r="BJ292" i="5"/>
  <c r="L294" i="5"/>
  <c r="Z294" i="5"/>
  <c r="AD294" i="5"/>
  <c r="AE294" i="5"/>
  <c r="AF294" i="5"/>
  <c r="AG294" i="5"/>
  <c r="AH294" i="5"/>
  <c r="AJ294" i="5"/>
  <c r="AK294" i="5"/>
  <c r="AL294" i="5"/>
  <c r="AO294" i="5"/>
  <c r="AW294" i="5" s="1"/>
  <c r="AP294" i="5"/>
  <c r="AX294" i="5" s="1"/>
  <c r="BD294" i="5"/>
  <c r="BF294" i="5"/>
  <c r="BH294" i="5"/>
  <c r="AB294" i="5" s="1"/>
  <c r="BI294" i="5"/>
  <c r="AC294" i="5" s="1"/>
  <c r="BJ294" i="5"/>
  <c r="L295" i="5"/>
  <c r="AL295" i="5" s="1"/>
  <c r="Z295" i="5"/>
  <c r="AD295" i="5"/>
  <c r="AE295" i="5"/>
  <c r="AF295" i="5"/>
  <c r="AG295" i="5"/>
  <c r="AH295" i="5"/>
  <c r="AJ295" i="5"/>
  <c r="AK295" i="5"/>
  <c r="AO295" i="5"/>
  <c r="AP295" i="5"/>
  <c r="BI295" i="5" s="1"/>
  <c r="AC295" i="5" s="1"/>
  <c r="AW295" i="5"/>
  <c r="AX295" i="5"/>
  <c r="BD295" i="5"/>
  <c r="BF295" i="5"/>
  <c r="BH295" i="5"/>
  <c r="AB295" i="5" s="1"/>
  <c r="BJ295" i="5"/>
  <c r="L296" i="5"/>
  <c r="AL296" i="5" s="1"/>
  <c r="Z296" i="5"/>
  <c r="AD296" i="5"/>
  <c r="AE296" i="5"/>
  <c r="AF296" i="5"/>
  <c r="AG296" i="5"/>
  <c r="AH296" i="5"/>
  <c r="AJ296" i="5"/>
  <c r="AK296" i="5"/>
  <c r="AO296" i="5"/>
  <c r="AP296" i="5"/>
  <c r="AX296" i="5" s="1"/>
  <c r="AV296" i="5" s="1"/>
  <c r="AW296" i="5"/>
  <c r="BD296" i="5"/>
  <c r="BF296" i="5"/>
  <c r="BH296" i="5"/>
  <c r="AB296" i="5" s="1"/>
  <c r="BI296" i="5"/>
  <c r="AC296" i="5" s="1"/>
  <c r="BJ296" i="5"/>
  <c r="L297" i="5"/>
  <c r="L41" i="1" s="1"/>
  <c r="N41" i="1" s="1"/>
  <c r="AS297" i="5"/>
  <c r="L298" i="5"/>
  <c r="Z298" i="5"/>
  <c r="AC298" i="5"/>
  <c r="AD298" i="5"/>
  <c r="AE298" i="5"/>
  <c r="AF298" i="5"/>
  <c r="AG298" i="5"/>
  <c r="AH298" i="5"/>
  <c r="AJ298" i="5"/>
  <c r="AK298" i="5"/>
  <c r="AT297" i="5" s="1"/>
  <c r="AL298" i="5"/>
  <c r="AU297" i="5" s="1"/>
  <c r="AO298" i="5"/>
  <c r="AP298" i="5"/>
  <c r="AX298" i="5" s="1"/>
  <c r="BD298" i="5"/>
  <c r="BF298" i="5"/>
  <c r="BI298" i="5"/>
  <c r="BJ298" i="5"/>
  <c r="L299" i="5"/>
  <c r="Z299" i="5"/>
  <c r="AD299" i="5"/>
  <c r="AE299" i="5"/>
  <c r="AF299" i="5"/>
  <c r="AG299" i="5"/>
  <c r="AH299" i="5"/>
  <c r="AJ299" i="5"/>
  <c r="AK299" i="5"/>
  <c r="AL299" i="5"/>
  <c r="AO299" i="5"/>
  <c r="AP299" i="5"/>
  <c r="AX299" i="5" s="1"/>
  <c r="AW299" i="5"/>
  <c r="BC299" i="5" s="1"/>
  <c r="BD299" i="5"/>
  <c r="BF299" i="5"/>
  <c r="BH299" i="5"/>
  <c r="AB299" i="5" s="1"/>
  <c r="BI299" i="5"/>
  <c r="AC299" i="5" s="1"/>
  <c r="BJ299" i="5"/>
  <c r="L300" i="5"/>
  <c r="AL300" i="5" s="1"/>
  <c r="Z300" i="5"/>
  <c r="AD300" i="5"/>
  <c r="AE300" i="5"/>
  <c r="AF300" i="5"/>
  <c r="AG300" i="5"/>
  <c r="AH300" i="5"/>
  <c r="AJ300" i="5"/>
  <c r="AK300" i="5"/>
  <c r="AO300" i="5"/>
  <c r="BH300" i="5" s="1"/>
  <c r="AB300" i="5" s="1"/>
  <c r="AP300" i="5"/>
  <c r="AX300" i="5" s="1"/>
  <c r="AV300" i="5" s="1"/>
  <c r="AW300" i="5"/>
  <c r="BD300" i="5"/>
  <c r="BF300" i="5"/>
  <c r="BJ300" i="5"/>
  <c r="L302" i="5"/>
  <c r="L42" i="1" s="1"/>
  <c r="N42" i="1" s="1"/>
  <c r="AS302" i="5"/>
  <c r="L303" i="5"/>
  <c r="Z303" i="5"/>
  <c r="AD303" i="5"/>
  <c r="AE303" i="5"/>
  <c r="AF303" i="5"/>
  <c r="AG303" i="5"/>
  <c r="AH303" i="5"/>
  <c r="AJ303" i="5"/>
  <c r="AK303" i="5"/>
  <c r="AL303" i="5"/>
  <c r="AO303" i="5"/>
  <c r="AW303" i="5" s="1"/>
  <c r="AP303" i="5"/>
  <c r="AX303" i="5" s="1"/>
  <c r="BC303" i="5"/>
  <c r="BD303" i="5"/>
  <c r="BF303" i="5"/>
  <c r="BJ303" i="5"/>
  <c r="L308" i="5"/>
  <c r="Z308" i="5"/>
  <c r="AB308" i="5"/>
  <c r="AD308" i="5"/>
  <c r="AE308" i="5"/>
  <c r="AF308" i="5"/>
  <c r="AG308" i="5"/>
  <c r="AH308" i="5"/>
  <c r="AJ308" i="5"/>
  <c r="AK308" i="5"/>
  <c r="AL308" i="5"/>
  <c r="AO308" i="5"/>
  <c r="AW308" i="5" s="1"/>
  <c r="AV308" i="5" s="1"/>
  <c r="AP308" i="5"/>
  <c r="AX308" i="5" s="1"/>
  <c r="BD308" i="5"/>
  <c r="BF308" i="5"/>
  <c r="BH308" i="5"/>
  <c r="BI308" i="5"/>
  <c r="AC308" i="5" s="1"/>
  <c r="BJ308" i="5"/>
  <c r="L309" i="5"/>
  <c r="Z309" i="5"/>
  <c r="AD309" i="5"/>
  <c r="AE309" i="5"/>
  <c r="AF309" i="5"/>
  <c r="AG309" i="5"/>
  <c r="AH309" i="5"/>
  <c r="AJ309" i="5"/>
  <c r="AK309" i="5"/>
  <c r="AL309" i="5"/>
  <c r="AO309" i="5"/>
  <c r="AP309" i="5"/>
  <c r="AX309" i="5" s="1"/>
  <c r="AW309" i="5"/>
  <c r="BD309" i="5"/>
  <c r="BF309" i="5"/>
  <c r="BH309" i="5"/>
  <c r="AB309" i="5" s="1"/>
  <c r="BJ309" i="5"/>
  <c r="L312" i="5"/>
  <c r="AL312" i="5" s="1"/>
  <c r="AU311" i="5" s="1"/>
  <c r="Z312" i="5"/>
  <c r="AB312" i="5"/>
  <c r="AC312" i="5"/>
  <c r="AD312" i="5"/>
  <c r="AE312" i="5"/>
  <c r="AF312" i="5"/>
  <c r="AG312" i="5"/>
  <c r="AH312" i="5"/>
  <c r="AJ312" i="5"/>
  <c r="AS311" i="5" s="1"/>
  <c r="AK312" i="5"/>
  <c r="AT311" i="5" s="1"/>
  <c r="AO312" i="5"/>
  <c r="AW312" i="5" s="1"/>
  <c r="AV312" i="5" s="1"/>
  <c r="AP312" i="5"/>
  <c r="AX312" i="5"/>
  <c r="BC312" i="5"/>
  <c r="BD312" i="5"/>
  <c r="BF312" i="5"/>
  <c r="BH312" i="5"/>
  <c r="BI312" i="5"/>
  <c r="BJ312" i="5"/>
  <c r="L316" i="5"/>
  <c r="Z316" i="5"/>
  <c r="AD316" i="5"/>
  <c r="AE316" i="5"/>
  <c r="AF316" i="5"/>
  <c r="AG316" i="5"/>
  <c r="AH316" i="5"/>
  <c r="AJ316" i="5"/>
  <c r="AS315" i="5" s="1"/>
  <c r="AK316" i="5"/>
  <c r="AO316" i="5"/>
  <c r="AP316" i="5"/>
  <c r="AX316" i="5" s="1"/>
  <c r="AW316" i="5"/>
  <c r="BD316" i="5"/>
  <c r="BF316" i="5"/>
  <c r="BH316" i="5"/>
  <c r="AB316" i="5" s="1"/>
  <c r="BI316" i="5"/>
  <c r="AC316" i="5" s="1"/>
  <c r="BJ316" i="5"/>
  <c r="L317" i="5"/>
  <c r="AL317" i="5" s="1"/>
  <c r="Z317" i="5"/>
  <c r="AB317" i="5"/>
  <c r="AD317" i="5"/>
  <c r="AE317" i="5"/>
  <c r="AF317" i="5"/>
  <c r="AG317" i="5"/>
  <c r="AH317" i="5"/>
  <c r="AJ317" i="5"/>
  <c r="AK317" i="5"/>
  <c r="AT315" i="5" s="1"/>
  <c r="AO317" i="5"/>
  <c r="AP317" i="5"/>
  <c r="AW317" i="5"/>
  <c r="AX317" i="5"/>
  <c r="BD317" i="5"/>
  <c r="BF317" i="5"/>
  <c r="BH317" i="5"/>
  <c r="BI317" i="5"/>
  <c r="AC317" i="5" s="1"/>
  <c r="BJ317" i="5"/>
  <c r="AS318" i="5"/>
  <c r="AT318" i="5"/>
  <c r="L319" i="5"/>
  <c r="Z319" i="5"/>
  <c r="AD319" i="5"/>
  <c r="AE319" i="5"/>
  <c r="AF319" i="5"/>
  <c r="AG319" i="5"/>
  <c r="AH319" i="5"/>
  <c r="AJ319" i="5"/>
  <c r="AK319" i="5"/>
  <c r="AL319" i="5"/>
  <c r="AU318" i="5" s="1"/>
  <c r="AO319" i="5"/>
  <c r="AW319" i="5" s="1"/>
  <c r="AP319" i="5"/>
  <c r="BD319" i="5"/>
  <c r="BF319" i="5"/>
  <c r="BJ319" i="5"/>
  <c r="L321" i="5"/>
  <c r="AL321" i="5" s="1"/>
  <c r="Z321" i="5"/>
  <c r="AD321" i="5"/>
  <c r="AE321" i="5"/>
  <c r="AF321" i="5"/>
  <c r="AG321" i="5"/>
  <c r="AH321" i="5"/>
  <c r="AJ321" i="5"/>
  <c r="AK321" i="5"/>
  <c r="AO321" i="5"/>
  <c r="AW321" i="5" s="1"/>
  <c r="AP321" i="5"/>
  <c r="AX321" i="5" s="1"/>
  <c r="BD321" i="5"/>
  <c r="BF321" i="5"/>
  <c r="BI321" i="5"/>
  <c r="AC321" i="5" s="1"/>
  <c r="BJ321" i="5"/>
  <c r="L323" i="5"/>
  <c r="Z323" i="5"/>
  <c r="AC323" i="5"/>
  <c r="AD323" i="5"/>
  <c r="AE323" i="5"/>
  <c r="AF323" i="5"/>
  <c r="AG323" i="5"/>
  <c r="AH323" i="5"/>
  <c r="AJ323" i="5"/>
  <c r="AS322" i="5" s="1"/>
  <c r="AK323" i="5"/>
  <c r="AL323" i="5"/>
  <c r="AO323" i="5"/>
  <c r="AP323" i="5"/>
  <c r="AX323" i="5" s="1"/>
  <c r="BD323" i="5"/>
  <c r="BF323" i="5"/>
  <c r="BI323" i="5"/>
  <c r="BJ323" i="5"/>
  <c r="L325" i="5"/>
  <c r="Z325" i="5"/>
  <c r="AB325" i="5"/>
  <c r="AD325" i="5"/>
  <c r="AE325" i="5"/>
  <c r="AF325" i="5"/>
  <c r="AG325" i="5"/>
  <c r="AH325" i="5"/>
  <c r="AJ325" i="5"/>
  <c r="AK325" i="5"/>
  <c r="AL325" i="5"/>
  <c r="AO325" i="5"/>
  <c r="AW325" i="5" s="1"/>
  <c r="AP325" i="5"/>
  <c r="AX325" i="5" s="1"/>
  <c r="AV325" i="5"/>
  <c r="BD325" i="5"/>
  <c r="BF325" i="5"/>
  <c r="BH325" i="5"/>
  <c r="BJ325" i="5"/>
  <c r="L327" i="5"/>
  <c r="Z327" i="5"/>
  <c r="AD327" i="5"/>
  <c r="AE327" i="5"/>
  <c r="AF327" i="5"/>
  <c r="AG327" i="5"/>
  <c r="AH327" i="5"/>
  <c r="AJ327" i="5"/>
  <c r="AK327" i="5"/>
  <c r="AL327" i="5"/>
  <c r="AO327" i="5"/>
  <c r="AP327" i="5"/>
  <c r="BD327" i="5"/>
  <c r="BF327" i="5"/>
  <c r="BJ327" i="5"/>
  <c r="L329" i="5"/>
  <c r="Z329" i="5"/>
  <c r="AD329" i="5"/>
  <c r="AE329" i="5"/>
  <c r="AF329" i="5"/>
  <c r="AG329" i="5"/>
  <c r="AH329" i="5"/>
  <c r="AJ329" i="5"/>
  <c r="AK329" i="5"/>
  <c r="AO329" i="5"/>
  <c r="AW329" i="5" s="1"/>
  <c r="AP329" i="5"/>
  <c r="BI329" i="5" s="1"/>
  <c r="AC329" i="5" s="1"/>
  <c r="AX329" i="5"/>
  <c r="BD329" i="5"/>
  <c r="BF329" i="5"/>
  <c r="BH329" i="5"/>
  <c r="AB329" i="5" s="1"/>
  <c r="BJ329" i="5"/>
  <c r="L330" i="5"/>
  <c r="AL330" i="5" s="1"/>
  <c r="Z330" i="5"/>
  <c r="AD330" i="5"/>
  <c r="AE330" i="5"/>
  <c r="AF330" i="5"/>
  <c r="AG330" i="5"/>
  <c r="AH330" i="5"/>
  <c r="AJ330" i="5"/>
  <c r="AK330" i="5"/>
  <c r="AO330" i="5"/>
  <c r="AP330" i="5"/>
  <c r="AW330" i="5"/>
  <c r="AX330" i="5"/>
  <c r="BD330" i="5"/>
  <c r="BF330" i="5"/>
  <c r="BH330" i="5"/>
  <c r="AB330" i="5" s="1"/>
  <c r="BI330" i="5"/>
  <c r="AC330" i="5" s="1"/>
  <c r="BJ330" i="5"/>
  <c r="L331" i="5"/>
  <c r="AL331" i="5" s="1"/>
  <c r="Z331" i="5"/>
  <c r="AB331" i="5"/>
  <c r="AD331" i="5"/>
  <c r="AE331" i="5"/>
  <c r="AF331" i="5"/>
  <c r="AG331" i="5"/>
  <c r="AH331" i="5"/>
  <c r="AJ331" i="5"/>
  <c r="AK331" i="5"/>
  <c r="AO331" i="5"/>
  <c r="AP331" i="5"/>
  <c r="AW331" i="5"/>
  <c r="AV331" i="5" s="1"/>
  <c r="AX331" i="5"/>
  <c r="BC331" i="5"/>
  <c r="BD331" i="5"/>
  <c r="BF331" i="5"/>
  <c r="BH331" i="5"/>
  <c r="BI331" i="5"/>
  <c r="AC331" i="5" s="1"/>
  <c r="BJ331" i="5"/>
  <c r="L333" i="5"/>
  <c r="Z333" i="5"/>
  <c r="AB333" i="5"/>
  <c r="AC333" i="5"/>
  <c r="AD333" i="5"/>
  <c r="AE333" i="5"/>
  <c r="AF333" i="5"/>
  <c r="AG333" i="5"/>
  <c r="AH333" i="5"/>
  <c r="AJ333" i="5"/>
  <c r="AK333" i="5"/>
  <c r="AL333" i="5"/>
  <c r="AO333" i="5"/>
  <c r="AP333" i="5"/>
  <c r="AW333" i="5"/>
  <c r="AV333" i="5" s="1"/>
  <c r="AX333" i="5"/>
  <c r="BD333" i="5"/>
  <c r="BF333" i="5"/>
  <c r="BH333" i="5"/>
  <c r="BI333" i="5"/>
  <c r="BJ333" i="5"/>
  <c r="AT334" i="5"/>
  <c r="L335" i="5"/>
  <c r="AL335" i="5" s="1"/>
  <c r="AU334" i="5" s="1"/>
  <c r="Z335" i="5"/>
  <c r="AD335" i="5"/>
  <c r="AE335" i="5"/>
  <c r="AF335" i="5"/>
  <c r="AG335" i="5"/>
  <c r="AH335" i="5"/>
  <c r="AJ335" i="5"/>
  <c r="AK335" i="5"/>
  <c r="AO335" i="5"/>
  <c r="AP335" i="5"/>
  <c r="AX335" i="5" s="1"/>
  <c r="BD335" i="5"/>
  <c r="BF335" i="5"/>
  <c r="BJ335" i="5"/>
  <c r="L337" i="5"/>
  <c r="AL337" i="5" s="1"/>
  <c r="Z337" i="5"/>
  <c r="AD337" i="5"/>
  <c r="AE337" i="5"/>
  <c r="AF337" i="5"/>
  <c r="AG337" i="5"/>
  <c r="AH337" i="5"/>
  <c r="AJ337" i="5"/>
  <c r="AS334" i="5" s="1"/>
  <c r="AK337" i="5"/>
  <c r="AO337" i="5"/>
  <c r="AP337" i="5"/>
  <c r="AW337" i="5"/>
  <c r="AV337" i="5" s="1"/>
  <c r="AX337" i="5"/>
  <c r="BC337" i="5"/>
  <c r="BD337" i="5"/>
  <c r="BF337" i="5"/>
  <c r="BH337" i="5"/>
  <c r="AB337" i="5" s="1"/>
  <c r="BI337" i="5"/>
  <c r="AC337" i="5" s="1"/>
  <c r="BJ337" i="5"/>
  <c r="AT339" i="5"/>
  <c r="L340" i="5"/>
  <c r="Z340" i="5"/>
  <c r="AD340" i="5"/>
  <c r="AE340" i="5"/>
  <c r="AF340" i="5"/>
  <c r="AG340" i="5"/>
  <c r="AH340" i="5"/>
  <c r="AJ340" i="5"/>
  <c r="AK340" i="5"/>
  <c r="AL340" i="5"/>
  <c r="AO340" i="5"/>
  <c r="AW340" i="5" s="1"/>
  <c r="AP340" i="5"/>
  <c r="AX340" i="5" s="1"/>
  <c r="AV340" i="5"/>
  <c r="BC340" i="5"/>
  <c r="BD340" i="5"/>
  <c r="BF340" i="5"/>
  <c r="BH340" i="5"/>
  <c r="AB340" i="5" s="1"/>
  <c r="BJ340" i="5"/>
  <c r="L342" i="5"/>
  <c r="Z342" i="5"/>
  <c r="AB342" i="5"/>
  <c r="AC342" i="5"/>
  <c r="AD342" i="5"/>
  <c r="AE342" i="5"/>
  <c r="AF342" i="5"/>
  <c r="AG342" i="5"/>
  <c r="AH342" i="5"/>
  <c r="AJ342" i="5"/>
  <c r="AK342" i="5"/>
  <c r="AL342" i="5"/>
  <c r="AO342" i="5"/>
  <c r="AW342" i="5" s="1"/>
  <c r="AP342" i="5"/>
  <c r="AX342" i="5" s="1"/>
  <c r="BD342" i="5"/>
  <c r="BF342" i="5"/>
  <c r="BH342" i="5"/>
  <c r="BI342" i="5"/>
  <c r="BJ342" i="5"/>
  <c r="L343" i="5"/>
  <c r="AL343" i="5" s="1"/>
  <c r="Z343" i="5"/>
  <c r="AD343" i="5"/>
  <c r="AE343" i="5"/>
  <c r="AF343" i="5"/>
  <c r="AG343" i="5"/>
  <c r="AH343" i="5"/>
  <c r="AJ343" i="5"/>
  <c r="AK343" i="5"/>
  <c r="AO343" i="5"/>
  <c r="BH343" i="5" s="1"/>
  <c r="AB343" i="5" s="1"/>
  <c r="AP343" i="5"/>
  <c r="AX343" i="5" s="1"/>
  <c r="AV343" i="5"/>
  <c r="AW343" i="5"/>
  <c r="BD343" i="5"/>
  <c r="BF343" i="5"/>
  <c r="BJ343" i="5"/>
  <c r="L345" i="5"/>
  <c r="Z345" i="5"/>
  <c r="AD345" i="5"/>
  <c r="AE345" i="5"/>
  <c r="AF345" i="5"/>
  <c r="AG345" i="5"/>
  <c r="AH345" i="5"/>
  <c r="AJ345" i="5"/>
  <c r="AS339" i="5" s="1"/>
  <c r="AK345" i="5"/>
  <c r="AO345" i="5"/>
  <c r="AW345" i="5" s="1"/>
  <c r="AP345" i="5"/>
  <c r="AX345" i="5" s="1"/>
  <c r="BD345" i="5"/>
  <c r="BF345" i="5"/>
  <c r="BI345" i="5"/>
  <c r="AC345" i="5" s="1"/>
  <c r="BJ345" i="5"/>
  <c r="L347" i="5"/>
  <c r="AL347" i="5" s="1"/>
  <c r="AU346" i="5" s="1"/>
  <c r="Z347" i="5"/>
  <c r="AD347" i="5"/>
  <c r="AE347" i="5"/>
  <c r="AF347" i="5"/>
  <c r="AG347" i="5"/>
  <c r="AH347" i="5"/>
  <c r="AJ347" i="5"/>
  <c r="AS346" i="5" s="1"/>
  <c r="AK347" i="5"/>
  <c r="AT346" i="5" s="1"/>
  <c r="AO347" i="5"/>
  <c r="AW347" i="5" s="1"/>
  <c r="AV347" i="5" s="1"/>
  <c r="AP347" i="5"/>
  <c r="AX347" i="5"/>
  <c r="BC347" i="5"/>
  <c r="BD347" i="5"/>
  <c r="BF347" i="5"/>
  <c r="BI347" i="5"/>
  <c r="AC347" i="5" s="1"/>
  <c r="BJ347" i="5"/>
  <c r="AT349" i="5"/>
  <c r="L350" i="5"/>
  <c r="Z350" i="5"/>
  <c r="AB350" i="5"/>
  <c r="AC350" i="5"/>
  <c r="AD350" i="5"/>
  <c r="AE350" i="5"/>
  <c r="AF350" i="5"/>
  <c r="AG350" i="5"/>
  <c r="AH350" i="5"/>
  <c r="AJ350" i="5"/>
  <c r="AS349" i="5" s="1"/>
  <c r="AK350" i="5"/>
  <c r="AO350" i="5"/>
  <c r="AP350" i="5"/>
  <c r="AW350" i="5"/>
  <c r="AX350" i="5"/>
  <c r="BC350" i="5"/>
  <c r="BD350" i="5"/>
  <c r="BF350" i="5"/>
  <c r="BH350" i="5"/>
  <c r="BI350" i="5"/>
  <c r="BJ350" i="5"/>
  <c r="L351" i="5"/>
  <c r="L51" i="1" s="1"/>
  <c r="N51" i="1" s="1"/>
  <c r="AS351" i="5"/>
  <c r="AT351" i="5"/>
  <c r="L352" i="5"/>
  <c r="Z352" i="5"/>
  <c r="AB352" i="5"/>
  <c r="AC352" i="5"/>
  <c r="AD352" i="5"/>
  <c r="AE352" i="5"/>
  <c r="AH352" i="5"/>
  <c r="AJ352" i="5"/>
  <c r="AK352" i="5"/>
  <c r="AL352" i="5"/>
  <c r="AU351" i="5" s="1"/>
  <c r="AO352" i="5"/>
  <c r="AW352" i="5" s="1"/>
  <c r="AP352" i="5"/>
  <c r="AX352" i="5" s="1"/>
  <c r="AV352" i="5" s="1"/>
  <c r="BD352" i="5"/>
  <c r="BF352" i="5"/>
  <c r="BI352" i="5"/>
  <c r="AG352" i="5" s="1"/>
  <c r="BJ352" i="5"/>
  <c r="L355" i="5"/>
  <c r="L354" i="5" s="1"/>
  <c r="L52" i="1" s="1"/>
  <c r="N52" i="1" s="1"/>
  <c r="Z355" i="5"/>
  <c r="AB355" i="5"/>
  <c r="AC355" i="5"/>
  <c r="AD355" i="5"/>
  <c r="AE355" i="5"/>
  <c r="AF355" i="5"/>
  <c r="AG355" i="5"/>
  <c r="AH355" i="5"/>
  <c r="AJ355" i="5"/>
  <c r="AS354" i="5" s="1"/>
  <c r="AK355" i="5"/>
  <c r="AT354" i="5" s="1"/>
  <c r="AL355" i="5"/>
  <c r="AU354" i="5" s="1"/>
  <c r="AO355" i="5"/>
  <c r="AW355" i="5" s="1"/>
  <c r="AP355" i="5"/>
  <c r="AX355" i="5"/>
  <c r="BD355" i="5"/>
  <c r="BF355" i="5"/>
  <c r="BH355" i="5"/>
  <c r="BI355" i="5"/>
  <c r="BJ355" i="5"/>
  <c r="L356" i="5"/>
  <c r="Z356" i="5"/>
  <c r="AB356" i="5"/>
  <c r="AC356" i="5"/>
  <c r="AD356" i="5"/>
  <c r="AE356" i="5"/>
  <c r="AF356" i="5"/>
  <c r="AG356" i="5"/>
  <c r="AH356" i="5"/>
  <c r="AJ356" i="5"/>
  <c r="AK356" i="5"/>
  <c r="AL356" i="5"/>
  <c r="AO356" i="5"/>
  <c r="AW356" i="5" s="1"/>
  <c r="AP356" i="5"/>
  <c r="AX356" i="5" s="1"/>
  <c r="BD356" i="5"/>
  <c r="BF356" i="5"/>
  <c r="BH356" i="5"/>
  <c r="BI356" i="5"/>
  <c r="BJ356" i="5"/>
  <c r="L357" i="5"/>
  <c r="AB357" i="5"/>
  <c r="AC357" i="5"/>
  <c r="AD357" i="5"/>
  <c r="AE357" i="5"/>
  <c r="AF357" i="5"/>
  <c r="AG357" i="5"/>
  <c r="AH357" i="5"/>
  <c r="AJ357" i="5"/>
  <c r="AK357" i="5"/>
  <c r="AL357" i="5"/>
  <c r="AO357" i="5"/>
  <c r="AW357" i="5" s="1"/>
  <c r="AP357" i="5"/>
  <c r="AX357" i="5" s="1"/>
  <c r="BD357" i="5"/>
  <c r="BF357" i="5"/>
  <c r="BH357" i="5"/>
  <c r="BJ357" i="5"/>
  <c r="Z357" i="5" s="1"/>
  <c r="L359" i="5"/>
  <c r="AB359" i="5"/>
  <c r="AC359" i="5"/>
  <c r="AD359" i="5"/>
  <c r="AE359" i="5"/>
  <c r="AF359" i="5"/>
  <c r="AG359" i="5"/>
  <c r="AH359" i="5"/>
  <c r="AJ359" i="5"/>
  <c r="AK359" i="5"/>
  <c r="AL359" i="5"/>
  <c r="AO359" i="5"/>
  <c r="AW359" i="5" s="1"/>
  <c r="AP359" i="5"/>
  <c r="AX359" i="5" s="1"/>
  <c r="AV359" i="5"/>
  <c r="BD359" i="5"/>
  <c r="BF359" i="5"/>
  <c r="BH359" i="5"/>
  <c r="BJ359" i="5"/>
  <c r="Z359" i="5" s="1"/>
  <c r="C2" i="3"/>
  <c r="F2" i="3"/>
  <c r="C4" i="3"/>
  <c r="F4" i="3"/>
  <c r="C6" i="3"/>
  <c r="F6" i="3"/>
  <c r="C8" i="3"/>
  <c r="F8" i="3"/>
  <c r="AL223" i="5" l="1"/>
  <c r="AU219" i="5" s="1"/>
  <c r="L219" i="5"/>
  <c r="L31" i="1" s="1"/>
  <c r="N31" i="1" s="1"/>
  <c r="BC200" i="5"/>
  <c r="AV200" i="5"/>
  <c r="AV345" i="5"/>
  <c r="BC345" i="5"/>
  <c r="AW335" i="5"/>
  <c r="BH335" i="5"/>
  <c r="AB335" i="5" s="1"/>
  <c r="AW261" i="5"/>
  <c r="BH261" i="5"/>
  <c r="AB261" i="5" s="1"/>
  <c r="AX202" i="5"/>
  <c r="BC202" i="5" s="1"/>
  <c r="BI202" i="5"/>
  <c r="AE202" i="5" s="1"/>
  <c r="C28" i="4"/>
  <c r="F28" i="4" s="1"/>
  <c r="BC321" i="5"/>
  <c r="AV321" i="5"/>
  <c r="BC277" i="5"/>
  <c r="AV277" i="5"/>
  <c r="BC294" i="5"/>
  <c r="AV294" i="5"/>
  <c r="AX292" i="5"/>
  <c r="AV292" i="5" s="1"/>
  <c r="BI292" i="5"/>
  <c r="AC292" i="5" s="1"/>
  <c r="BC359" i="5"/>
  <c r="BC355" i="5"/>
  <c r="AV355" i="5"/>
  <c r="BC342" i="5"/>
  <c r="AV342" i="5"/>
  <c r="AW298" i="5"/>
  <c r="BH298" i="5"/>
  <c r="AB298" i="5" s="1"/>
  <c r="AV284" i="5"/>
  <c r="AV350" i="5"/>
  <c r="AL345" i="5"/>
  <c r="L339" i="5"/>
  <c r="L48" i="1" s="1"/>
  <c r="N48" i="1" s="1"/>
  <c r="AX327" i="5"/>
  <c r="BI327" i="5"/>
  <c r="AC327" i="5" s="1"/>
  <c r="BC317" i="5"/>
  <c r="AV317" i="5"/>
  <c r="AX281" i="5"/>
  <c r="BI281" i="5"/>
  <c r="AW275" i="5"/>
  <c r="BH275" i="5"/>
  <c r="AX256" i="5"/>
  <c r="AV256" i="5" s="1"/>
  <c r="BI256" i="5"/>
  <c r="AE256" i="5" s="1"/>
  <c r="AV237" i="5"/>
  <c r="BC237" i="5"/>
  <c r="BC174" i="5"/>
  <c r="BC309" i="5"/>
  <c r="AV309" i="5"/>
  <c r="AV357" i="5"/>
  <c r="BC357" i="5"/>
  <c r="BC330" i="5"/>
  <c r="AV330" i="5"/>
  <c r="BH327" i="5"/>
  <c r="AB327" i="5" s="1"/>
  <c r="AW327" i="5"/>
  <c r="BH321" i="5"/>
  <c r="AB321" i="5" s="1"/>
  <c r="BC352" i="5"/>
  <c r="AV316" i="5"/>
  <c r="BC296" i="5"/>
  <c r="BC252" i="5"/>
  <c r="AV252" i="5"/>
  <c r="BC195" i="5"/>
  <c r="L349" i="5"/>
  <c r="L50" i="1" s="1"/>
  <c r="N50" i="1" s="1"/>
  <c r="AL350" i="5"/>
  <c r="AU349" i="5" s="1"/>
  <c r="BC264" i="5"/>
  <c r="AV264" i="5"/>
  <c r="BI359" i="5"/>
  <c r="L318" i="5"/>
  <c r="L45" i="1" s="1"/>
  <c r="N45" i="1" s="1"/>
  <c r="AW281" i="5"/>
  <c r="BH281" i="5"/>
  <c r="AV356" i="5"/>
  <c r="BC356" i="5"/>
  <c r="BH345" i="5"/>
  <c r="AB345" i="5" s="1"/>
  <c r="BI335" i="5"/>
  <c r="AC335" i="5" s="1"/>
  <c r="BC329" i="5"/>
  <c r="AV329" i="5"/>
  <c r="AW323" i="5"/>
  <c r="BH323" i="5"/>
  <c r="AB323" i="5" s="1"/>
  <c r="AX319" i="5"/>
  <c r="AV319" i="5" s="1"/>
  <c r="BI319" i="5"/>
  <c r="AC319" i="5" s="1"/>
  <c r="BC300" i="5"/>
  <c r="BH271" i="5"/>
  <c r="AB271" i="5" s="1"/>
  <c r="AW271" i="5"/>
  <c r="AX208" i="5"/>
  <c r="BC208" i="5" s="1"/>
  <c r="BI208" i="5"/>
  <c r="AE208" i="5" s="1"/>
  <c r="BI357" i="5"/>
  <c r="BC343" i="5"/>
  <c r="AL329" i="5"/>
  <c r="L322" i="5"/>
  <c r="L46" i="1" s="1"/>
  <c r="N46" i="1" s="1"/>
  <c r="AU322" i="5"/>
  <c r="BC319" i="5"/>
  <c r="BH352" i="5"/>
  <c r="AF352" i="5" s="1"/>
  <c r="L253" i="5"/>
  <c r="L33" i="1" s="1"/>
  <c r="N33" i="1" s="1"/>
  <c r="AX248" i="5"/>
  <c r="BC248" i="5" s="1"/>
  <c r="BI248" i="5"/>
  <c r="AE248" i="5" s="1"/>
  <c r="AX239" i="5"/>
  <c r="BI239" i="5"/>
  <c r="AE239" i="5" s="1"/>
  <c r="BI164" i="5"/>
  <c r="AC164" i="5" s="1"/>
  <c r="AX164" i="5"/>
  <c r="BC164" i="5" s="1"/>
  <c r="AX99" i="5"/>
  <c r="AV99" i="5" s="1"/>
  <c r="BI99" i="5"/>
  <c r="AC99" i="5" s="1"/>
  <c r="BI343" i="5"/>
  <c r="AC343" i="5" s="1"/>
  <c r="AV288" i="5"/>
  <c r="AW239" i="5"/>
  <c r="BH239" i="5"/>
  <c r="AD239" i="5" s="1"/>
  <c r="AS207" i="5"/>
  <c r="AW98" i="5"/>
  <c r="BH98" i="5"/>
  <c r="AB98" i="5" s="1"/>
  <c r="BC333" i="5"/>
  <c r="BC325" i="5"/>
  <c r="BH319" i="5"/>
  <c r="AB319" i="5" s="1"/>
  <c r="BC316" i="5"/>
  <c r="AU302" i="5"/>
  <c r="BC290" i="5"/>
  <c r="AL264" i="5"/>
  <c r="AU263" i="5" s="1"/>
  <c r="L263" i="5"/>
  <c r="L35" i="1" s="1"/>
  <c r="N35" i="1" s="1"/>
  <c r="AV260" i="5"/>
  <c r="BH256" i="5"/>
  <c r="AD256" i="5" s="1"/>
  <c r="BI252" i="5"/>
  <c r="BC243" i="5"/>
  <c r="BC240" i="5"/>
  <c r="AV240" i="5"/>
  <c r="AV234" i="5"/>
  <c r="BC234" i="5"/>
  <c r="AV223" i="5"/>
  <c r="AV213" i="5"/>
  <c r="AT190" i="5"/>
  <c r="AU190" i="5"/>
  <c r="AV186" i="5"/>
  <c r="AV168" i="5"/>
  <c r="AS165" i="5"/>
  <c r="BH134" i="5"/>
  <c r="AB134" i="5" s="1"/>
  <c r="AW134" i="5"/>
  <c r="BH118" i="5"/>
  <c r="AB118" i="5" s="1"/>
  <c r="AW118" i="5"/>
  <c r="AT322" i="5"/>
  <c r="AL316" i="5"/>
  <c r="AU315" i="5" s="1"/>
  <c r="L315" i="5"/>
  <c r="L44" i="1" s="1"/>
  <c r="N44" i="1" s="1"/>
  <c r="BC295" i="5"/>
  <c r="AV278" i="5"/>
  <c r="BI264" i="5"/>
  <c r="AC264" i="5" s="1"/>
  <c r="AX189" i="5"/>
  <c r="AV189" i="5" s="1"/>
  <c r="BI189" i="5"/>
  <c r="AV162" i="5"/>
  <c r="BC162" i="5"/>
  <c r="AV303" i="5"/>
  <c r="AL208" i="5"/>
  <c r="AU207" i="5" s="1"/>
  <c r="L207" i="5"/>
  <c r="L30" i="1" s="1"/>
  <c r="N30" i="1" s="1"/>
  <c r="BI135" i="5"/>
  <c r="AC135" i="5" s="1"/>
  <c r="AX135" i="5"/>
  <c r="BC93" i="5"/>
  <c r="AV93" i="5"/>
  <c r="L346" i="5"/>
  <c r="L49" i="1" s="1"/>
  <c r="N49" i="1" s="1"/>
  <c r="BI340" i="5"/>
  <c r="AC340" i="5" s="1"/>
  <c r="AU339" i="5"/>
  <c r="BI309" i="5"/>
  <c r="AC309" i="5" s="1"/>
  <c r="BI303" i="5"/>
  <c r="AC303" i="5" s="1"/>
  <c r="AT302" i="5"/>
  <c r="BH292" i="5"/>
  <c r="AB292" i="5" s="1"/>
  <c r="BH288" i="5"/>
  <c r="AB288" i="5" s="1"/>
  <c r="AS276" i="5"/>
  <c r="L270" i="5"/>
  <c r="L36" i="1" s="1"/>
  <c r="N36" i="1" s="1"/>
  <c r="AV268" i="5"/>
  <c r="BI245" i="5"/>
  <c r="AE245" i="5" s="1"/>
  <c r="AU229" i="5"/>
  <c r="AS219" i="5"/>
  <c r="AX212" i="5"/>
  <c r="BI212" i="5"/>
  <c r="AE212" i="5" s="1"/>
  <c r="BH211" i="5"/>
  <c r="AD211" i="5" s="1"/>
  <c r="AV197" i="5"/>
  <c r="BI195" i="5"/>
  <c r="AE195" i="5" s="1"/>
  <c r="AX195" i="5"/>
  <c r="BI191" i="5"/>
  <c r="AE191" i="5" s="1"/>
  <c r="L165" i="5"/>
  <c r="L26" i="1" s="1"/>
  <c r="N26" i="1" s="1"/>
  <c r="AL166" i="5"/>
  <c r="AU165" i="5" s="1"/>
  <c r="AL155" i="5"/>
  <c r="AV148" i="5"/>
  <c r="BC148" i="5"/>
  <c r="AV225" i="5"/>
  <c r="BC110" i="5"/>
  <c r="AV245" i="5"/>
  <c r="BC245" i="5"/>
  <c r="AV210" i="5"/>
  <c r="BC210" i="5"/>
  <c r="BC121" i="5"/>
  <c r="AV121" i="5"/>
  <c r="AV299" i="5"/>
  <c r="AV295" i="5"/>
  <c r="L334" i="5"/>
  <c r="L47" i="1" s="1"/>
  <c r="N47" i="1" s="1"/>
  <c r="BI325" i="5"/>
  <c r="AC325" i="5" s="1"/>
  <c r="BH303" i="5"/>
  <c r="AB303" i="5" s="1"/>
  <c r="AL284" i="5"/>
  <c r="AU283" i="5" s="1"/>
  <c r="L283" i="5"/>
  <c r="AL277" i="5"/>
  <c r="AU276" i="5" s="1"/>
  <c r="L276" i="5"/>
  <c r="L38" i="1" s="1"/>
  <c r="N38" i="1" s="1"/>
  <c r="BH245" i="5"/>
  <c r="AD245" i="5" s="1"/>
  <c r="AT229" i="5"/>
  <c r="BI230" i="5"/>
  <c r="AE230" i="5" s="1"/>
  <c r="BH220" i="5"/>
  <c r="AD220" i="5" s="1"/>
  <c r="AW212" i="5"/>
  <c r="BH212" i="5"/>
  <c r="AD212" i="5" s="1"/>
  <c r="AV195" i="5"/>
  <c r="AV154" i="5"/>
  <c r="BC154" i="5"/>
  <c r="AU147" i="5"/>
  <c r="AW127" i="5"/>
  <c r="BH127" i="5"/>
  <c r="AB127" i="5" s="1"/>
  <c r="AV126" i="5"/>
  <c r="BC126" i="5"/>
  <c r="AX242" i="5"/>
  <c r="BI242" i="5"/>
  <c r="AE242" i="5" s="1"/>
  <c r="AV184" i="5"/>
  <c r="AX159" i="5"/>
  <c r="BI159" i="5"/>
  <c r="AC159" i="5" s="1"/>
  <c r="BC292" i="5"/>
  <c r="BC220" i="5"/>
  <c r="AV220" i="5"/>
  <c r="AV211" i="5"/>
  <c r="BC211" i="5"/>
  <c r="AT207" i="5"/>
  <c r="BC119" i="5"/>
  <c r="L311" i="5"/>
  <c r="L43" i="1" s="1"/>
  <c r="N43" i="1" s="1"/>
  <c r="BI300" i="5"/>
  <c r="AC300" i="5" s="1"/>
  <c r="BH347" i="5"/>
  <c r="AB347" i="5" s="1"/>
  <c r="BC308" i="5"/>
  <c r="AV287" i="5"/>
  <c r="AS258" i="5"/>
  <c r="AL259" i="5"/>
  <c r="AU258" i="5" s="1"/>
  <c r="L258" i="5"/>
  <c r="L34" i="1" s="1"/>
  <c r="N34" i="1" s="1"/>
  <c r="BC256" i="5"/>
  <c r="BC249" i="5"/>
  <c r="AV249" i="5"/>
  <c r="BC246" i="5"/>
  <c r="BC232" i="5"/>
  <c r="L229" i="5"/>
  <c r="L32" i="1" s="1"/>
  <c r="N32" i="1" s="1"/>
  <c r="AV228" i="5"/>
  <c r="BC228" i="5"/>
  <c r="BC225" i="5"/>
  <c r="AX222" i="5"/>
  <c r="AV222" i="5" s="1"/>
  <c r="BI222" i="5"/>
  <c r="AE222" i="5" s="1"/>
  <c r="BC216" i="5"/>
  <c r="AV208" i="5"/>
  <c r="AV202" i="5"/>
  <c r="BC193" i="5"/>
  <c r="AV193" i="5"/>
  <c r="BC175" i="5"/>
  <c r="AV175" i="5"/>
  <c r="AX174" i="5"/>
  <c r="AV174" i="5" s="1"/>
  <c r="BI174" i="5"/>
  <c r="AC174" i="5" s="1"/>
  <c r="AW140" i="5"/>
  <c r="BH140" i="5"/>
  <c r="AB140" i="5" s="1"/>
  <c r="AV89" i="5"/>
  <c r="BC89" i="5"/>
  <c r="BC77" i="5"/>
  <c r="AV77" i="5"/>
  <c r="AX65" i="5"/>
  <c r="AV65" i="5" s="1"/>
  <c r="BI65" i="5"/>
  <c r="AE65" i="5" s="1"/>
  <c r="AW38" i="5"/>
  <c r="BH38" i="5"/>
  <c r="AB38" i="5" s="1"/>
  <c r="AV35" i="5"/>
  <c r="BC35" i="5"/>
  <c r="AL33" i="5"/>
  <c r="AU28" i="5" s="1"/>
  <c r="L28" i="5"/>
  <c r="AV31" i="5"/>
  <c r="C18" i="4"/>
  <c r="BC47" i="5"/>
  <c r="AV47" i="5"/>
  <c r="AX24" i="5"/>
  <c r="AV24" i="5" s="1"/>
  <c r="BI24" i="5"/>
  <c r="AC24" i="5" s="1"/>
  <c r="C17" i="4"/>
  <c r="L13" i="1"/>
  <c r="N13" i="1" s="1"/>
  <c r="AU158" i="5"/>
  <c r="AX156" i="5"/>
  <c r="AV156" i="5" s="1"/>
  <c r="BI156" i="5"/>
  <c r="AC156" i="5" s="1"/>
  <c r="AV124" i="5"/>
  <c r="BC124" i="5"/>
  <c r="AX108" i="5"/>
  <c r="AV108" i="5" s="1"/>
  <c r="BI108" i="5"/>
  <c r="AC108" i="5" s="1"/>
  <c r="AW52" i="5"/>
  <c r="BH52" i="5"/>
  <c r="AB52" i="5" s="1"/>
  <c r="AV206" i="5"/>
  <c r="BC206" i="5"/>
  <c r="BI181" i="5"/>
  <c r="AC181" i="5" s="1"/>
  <c r="AX181" i="5"/>
  <c r="BC181" i="5" s="1"/>
  <c r="BC156" i="5"/>
  <c r="BI123" i="5"/>
  <c r="AC123" i="5" s="1"/>
  <c r="AX123" i="5"/>
  <c r="BC123" i="5" s="1"/>
  <c r="AV80" i="5"/>
  <c r="BC80" i="5"/>
  <c r="BC55" i="5"/>
  <c r="AV55" i="5"/>
  <c r="C21" i="4"/>
  <c r="BC230" i="5"/>
  <c r="AV218" i="5"/>
  <c r="AV215" i="5"/>
  <c r="AV204" i="5"/>
  <c r="BC204" i="5"/>
  <c r="AW199" i="5"/>
  <c r="BH199" i="5"/>
  <c r="AD199" i="5" s="1"/>
  <c r="BC191" i="5"/>
  <c r="AV185" i="5"/>
  <c r="BC185" i="5"/>
  <c r="L183" i="5"/>
  <c r="L28" i="1" s="1"/>
  <c r="N28" i="1" s="1"/>
  <c r="AL184" i="5"/>
  <c r="AU183" i="5" s="1"/>
  <c r="AV172" i="5"/>
  <c r="AV170" i="5"/>
  <c r="BC170" i="5"/>
  <c r="BC166" i="5"/>
  <c r="AV166" i="5"/>
  <c r="AX120" i="5"/>
  <c r="BI120" i="5"/>
  <c r="AC120" i="5" s="1"/>
  <c r="AW106" i="5"/>
  <c r="BH106" i="5"/>
  <c r="AB106" i="5" s="1"/>
  <c r="AV238" i="5"/>
  <c r="BC238" i="5"/>
  <c r="BH186" i="5"/>
  <c r="AD186" i="5" s="1"/>
  <c r="C16" i="4" s="1"/>
  <c r="AV177" i="5"/>
  <c r="BC177" i="5"/>
  <c r="BC130" i="5"/>
  <c r="AV130" i="5"/>
  <c r="AV125" i="5"/>
  <c r="BI124" i="5"/>
  <c r="AC124" i="5" s="1"/>
  <c r="BC122" i="5"/>
  <c r="AV122" i="5"/>
  <c r="AL75" i="5"/>
  <c r="AU67" i="5" s="1"/>
  <c r="L67" i="5"/>
  <c r="L20" i="1" s="1"/>
  <c r="N20" i="1" s="1"/>
  <c r="AS147" i="5"/>
  <c r="L136" i="5"/>
  <c r="L21" i="1" s="1"/>
  <c r="N21" i="1" s="1"/>
  <c r="AV135" i="5"/>
  <c r="BI115" i="5"/>
  <c r="AC115" i="5" s="1"/>
  <c r="AX115" i="5"/>
  <c r="AV115" i="5" s="1"/>
  <c r="BI110" i="5"/>
  <c r="AC110" i="5" s="1"/>
  <c r="AX110" i="5"/>
  <c r="AV110" i="5" s="1"/>
  <c r="AV68" i="5"/>
  <c r="BC68" i="5"/>
  <c r="C27" i="4"/>
  <c r="BI200" i="5"/>
  <c r="AE200" i="5" s="1"/>
  <c r="BC197" i="5"/>
  <c r="BH189" i="5"/>
  <c r="BH174" i="5"/>
  <c r="AB174" i="5" s="1"/>
  <c r="AX170" i="5"/>
  <c r="BH156" i="5"/>
  <c r="AB156" i="5" s="1"/>
  <c r="AV150" i="5"/>
  <c r="AV131" i="5"/>
  <c r="BI118" i="5"/>
  <c r="AC118" i="5" s="1"/>
  <c r="AV114" i="5"/>
  <c r="BC114" i="5"/>
  <c r="AW109" i="5"/>
  <c r="BH109" i="5"/>
  <c r="AB109" i="5" s="1"/>
  <c r="AV87" i="5"/>
  <c r="BC87" i="5"/>
  <c r="AV85" i="5"/>
  <c r="AV59" i="5"/>
  <c r="BC54" i="5"/>
  <c r="AV54" i="5"/>
  <c r="L190" i="5"/>
  <c r="L29" i="1" s="1"/>
  <c r="N29" i="1" s="1"/>
  <c r="L158" i="5"/>
  <c r="L25" i="1" s="1"/>
  <c r="N25" i="1" s="1"/>
  <c r="AV123" i="5"/>
  <c r="AX107" i="5"/>
  <c r="BI107" i="5"/>
  <c r="AC107" i="5" s="1"/>
  <c r="BC103" i="5"/>
  <c r="AX100" i="5"/>
  <c r="AV100" i="5" s="1"/>
  <c r="BI100" i="5"/>
  <c r="AC100" i="5" s="1"/>
  <c r="AX25" i="5"/>
  <c r="BI25" i="5"/>
  <c r="AC25" i="5" s="1"/>
  <c r="BH164" i="5"/>
  <c r="AB164" i="5" s="1"/>
  <c r="AV119" i="5"/>
  <c r="BC107" i="5"/>
  <c r="AV107" i="5"/>
  <c r="BC104" i="5"/>
  <c r="AV102" i="5"/>
  <c r="BC102" i="5"/>
  <c r="AV96" i="5"/>
  <c r="BC96" i="5"/>
  <c r="AV92" i="5"/>
  <c r="AW53" i="5"/>
  <c r="BH53" i="5"/>
  <c r="AB53" i="5" s="1"/>
  <c r="AV49" i="5"/>
  <c r="AS28" i="5"/>
  <c r="AV27" i="5"/>
  <c r="BC27" i="5"/>
  <c r="AU136" i="5"/>
  <c r="BC135" i="5"/>
  <c r="AT67" i="5"/>
  <c r="BC63" i="5"/>
  <c r="AV63" i="5"/>
  <c r="AL62" i="5"/>
  <c r="AU58" i="5" s="1"/>
  <c r="L58" i="5"/>
  <c r="L18" i="1" s="1"/>
  <c r="N18" i="1" s="1"/>
  <c r="BI43" i="5"/>
  <c r="AC43" i="5" s="1"/>
  <c r="AX43" i="5"/>
  <c r="AV43" i="5" s="1"/>
  <c r="C15" i="4"/>
  <c r="AV112" i="5"/>
  <c r="BC99" i="5"/>
  <c r="AV86" i="5"/>
  <c r="BH83" i="5"/>
  <c r="AB83" i="5" s="1"/>
  <c r="AS67" i="5"/>
  <c r="BI53" i="5"/>
  <c r="AC53" i="5" s="1"/>
  <c r="AV33" i="5"/>
  <c r="BH29" i="5"/>
  <c r="AB29" i="5" s="1"/>
  <c r="C14" i="4" s="1"/>
  <c r="BC24" i="5"/>
  <c r="AV104" i="5"/>
  <c r="AV56" i="5"/>
  <c r="C19" i="4"/>
  <c r="BC105" i="5"/>
  <c r="AV97" i="5"/>
  <c r="BC97" i="5"/>
  <c r="AV94" i="5"/>
  <c r="BH91" i="5"/>
  <c r="AB91" i="5" s="1"/>
  <c r="AV75" i="5"/>
  <c r="BH71" i="5"/>
  <c r="AB71" i="5" s="1"/>
  <c r="BC65" i="5"/>
  <c r="AV62" i="5"/>
  <c r="C20" i="4"/>
  <c r="L37" i="5"/>
  <c r="L15" i="1" s="1"/>
  <c r="N15" i="1" s="1"/>
  <c r="AV20" i="5"/>
  <c r="BC20" i="5"/>
  <c r="C22" i="4" l="1"/>
  <c r="AV159" i="5"/>
  <c r="BC159" i="5"/>
  <c r="AV127" i="5"/>
  <c r="BC127" i="5"/>
  <c r="BC298" i="5"/>
  <c r="AV298" i="5"/>
  <c r="L14" i="1"/>
  <c r="N14" i="1" s="1"/>
  <c r="L53" i="1" s="1"/>
  <c r="L360" i="5"/>
  <c r="AV212" i="5"/>
  <c r="BC212" i="5"/>
  <c r="AV134" i="5"/>
  <c r="BC134" i="5"/>
  <c r="AV323" i="5"/>
  <c r="BC323" i="5"/>
  <c r="AV281" i="5"/>
  <c r="BC281" i="5"/>
  <c r="BC115" i="5"/>
  <c r="AV98" i="5"/>
  <c r="BC98" i="5"/>
  <c r="BC271" i="5"/>
  <c r="AV271" i="5"/>
  <c r="BC100" i="5"/>
  <c r="AV261" i="5"/>
  <c r="BC261" i="5"/>
  <c r="BC43" i="5"/>
  <c r="AV106" i="5"/>
  <c r="BC106" i="5"/>
  <c r="AV181" i="5"/>
  <c r="BC38" i="5"/>
  <c r="AV38" i="5"/>
  <c r="AV140" i="5"/>
  <c r="BC140" i="5"/>
  <c r="BC242" i="5"/>
  <c r="AV242" i="5"/>
  <c r="AV248" i="5"/>
  <c r="BC189" i="5"/>
  <c r="BC53" i="5"/>
  <c r="AV53" i="5"/>
  <c r="AV199" i="5"/>
  <c r="BC199" i="5"/>
  <c r="BC222" i="5"/>
  <c r="BC25" i="5"/>
  <c r="AV25" i="5"/>
  <c r="AV239" i="5"/>
  <c r="BC239" i="5"/>
  <c r="AV275" i="5"/>
  <c r="BC275" i="5"/>
  <c r="BC335" i="5"/>
  <c r="AV335" i="5"/>
  <c r="BC108" i="5"/>
  <c r="C29" i="4"/>
  <c r="F29" i="4" s="1"/>
  <c r="BC109" i="5"/>
  <c r="AV109" i="5"/>
  <c r="BC120" i="5"/>
  <c r="AV120" i="5"/>
  <c r="AV52" i="5"/>
  <c r="BC52" i="5"/>
  <c r="L12" i="5"/>
  <c r="L40" i="1"/>
  <c r="N40" i="1" s="1"/>
  <c r="L282" i="5"/>
  <c r="AV164" i="5"/>
  <c r="AV118" i="5"/>
  <c r="BC118" i="5"/>
  <c r="BC327" i="5"/>
  <c r="AV327" i="5"/>
  <c r="L13" i="2" l="1"/>
  <c r="P13" i="2" s="1"/>
  <c r="L39" i="1"/>
  <c r="P39" i="1" s="1"/>
  <c r="L12" i="2"/>
  <c r="P12" i="2" s="1"/>
  <c r="L14" i="2" s="1"/>
  <c r="L12" i="1"/>
  <c r="P12" i="1" s="1"/>
  <c r="I28" i="4"/>
  <c r="I29" i="4" s="1"/>
</calcChain>
</file>

<file path=xl/sharedStrings.xml><?xml version="1.0" encoding="utf-8"?>
<sst xmlns="http://schemas.openxmlformats.org/spreadsheetml/2006/main" count="4552" uniqueCount="933">
  <si>
    <t>Slepý stavební rozpočet - Jen podskupiny</t>
  </si>
  <si>
    <t>Název stavby:</t>
  </si>
  <si>
    <t>Druh stavby:</t>
  </si>
  <si>
    <t>Lokalita:</t>
  </si>
  <si>
    <t>JKSO:</t>
  </si>
  <si>
    <t xml:space="preserve"> </t>
  </si>
  <si>
    <t>Objekt</t>
  </si>
  <si>
    <t>01</t>
  </si>
  <si>
    <t>02</t>
  </si>
  <si>
    <t>Poznámka:</t>
  </si>
  <si>
    <t>POKUD TENTO VÝKAZ VÝMĚR (Z DŮVODU UPŘESNĚNÍ A PŘIBLÍŽENÍ TECHNICKÝCH PARAMETRŮ, KVALITY PROJEKTOVANÝCH PRVKŮ A NAVRHOVANÝCH ŘEŠENÍ) OBSAHUJE POŽADAVKY NEBO ODKAZY NA OBCHODNÍ FIRMY NEBO NÁZVY, TECHNOLOGIE ČI SPECIFICKÁ OZNAČENÍ VÝROBKŮ, JSOU TYTO ODKAZY, NÁZVY A OZNAČENÍ NEZÁVAZNÁ, ZADAVATEL V SOULADU S § 89 ODST. 6 ZÁKONA Č. 134/2016 SB., O ZADÁVÁNÍ VEŘEJNÝCH ZAKÁZEK, UMOŽŇUJE POUŽITÍ I JINÝCH, KVALITATIVNĚ A TECHNICKY OBDOBNÝCH ŘEŠENÍ.</t>
  </si>
  <si>
    <t>Kód</t>
  </si>
  <si>
    <t>100VD</t>
  </si>
  <si>
    <t>11</t>
  </si>
  <si>
    <t>12</t>
  </si>
  <si>
    <t>13</t>
  </si>
  <si>
    <t>16</t>
  </si>
  <si>
    <t>17</t>
  </si>
  <si>
    <t>771</t>
  </si>
  <si>
    <t>18</t>
  </si>
  <si>
    <t>27</t>
  </si>
  <si>
    <t>34</t>
  </si>
  <si>
    <t>43</t>
  </si>
  <si>
    <t>56</t>
  </si>
  <si>
    <t>57</t>
  </si>
  <si>
    <t>59</t>
  </si>
  <si>
    <t>63</t>
  </si>
  <si>
    <t>721</t>
  </si>
  <si>
    <t>762</t>
  </si>
  <si>
    <t>764</t>
  </si>
  <si>
    <t>765</t>
  </si>
  <si>
    <t>767</t>
  </si>
  <si>
    <t>783</t>
  </si>
  <si>
    <t>89</t>
  </si>
  <si>
    <t>91</t>
  </si>
  <si>
    <t>96</t>
  </si>
  <si>
    <t>H22</t>
  </si>
  <si>
    <t>S</t>
  </si>
  <si>
    <t>M21</t>
  </si>
  <si>
    <t>Zkrácený popis</t>
  </si>
  <si>
    <t>ETAPA I</t>
  </si>
  <si>
    <t>VRN</t>
  </si>
  <si>
    <t>Přípravné a přidružené práce</t>
  </si>
  <si>
    <t>Odkopávky a prokopávky</t>
  </si>
  <si>
    <t>Hloubené vykopávky</t>
  </si>
  <si>
    <t>Přemístění výkopku</t>
  </si>
  <si>
    <t>Konstrukce ze zemin</t>
  </si>
  <si>
    <t>Podlahy z dlaždic</t>
  </si>
  <si>
    <t>Povrchové úpravy terénu</t>
  </si>
  <si>
    <t>Základy</t>
  </si>
  <si>
    <t>Stěny a příčky</t>
  </si>
  <si>
    <t>Schodiště</t>
  </si>
  <si>
    <t>Podkladní vrstvy komunikací, letišť a ploch</t>
  </si>
  <si>
    <t>Kryty pozemních komunikací, letišť a ploch z kameniva nebo živičné</t>
  </si>
  <si>
    <t>Kryty pozemních komunikací, letišť a ploch dlážděných (předlažby)</t>
  </si>
  <si>
    <t>Podlahy a podlahové konstrukce</t>
  </si>
  <si>
    <t>Vnitřní kanalizace</t>
  </si>
  <si>
    <t>Konstrukce tesařské</t>
  </si>
  <si>
    <t>Konstrukce klempířské</t>
  </si>
  <si>
    <t>Krytina tvrdá</t>
  </si>
  <si>
    <t>Konstrukce doplňkové stavební (zámečnické)</t>
  </si>
  <si>
    <t>Nátěry</t>
  </si>
  <si>
    <t>Ostatní konstrukce a práce na trubním vedení</t>
  </si>
  <si>
    <t>Doplňující konstrukce a práce na pozemních komunikacích a zpevněných plochách</t>
  </si>
  <si>
    <t>Bourání konstrukcí</t>
  </si>
  <si>
    <t>Komunikace pozemní a letiště</t>
  </si>
  <si>
    <t>Přesuny sutí</t>
  </si>
  <si>
    <t>ETAPA II</t>
  </si>
  <si>
    <t>Elektromontáže</t>
  </si>
  <si>
    <t>Doba výstavby:</t>
  </si>
  <si>
    <t>Začátek výstavby:</t>
  </si>
  <si>
    <t>Konec výstavby:</t>
  </si>
  <si>
    <t>Zpracováno dne:</t>
  </si>
  <si>
    <t>Objednatel:</t>
  </si>
  <si>
    <t>Projektant:</t>
  </si>
  <si>
    <t>Zhotovitel:</t>
  </si>
  <si>
    <t>Zpracoval:</t>
  </si>
  <si>
    <t>Celkem:</t>
  </si>
  <si>
    <t>Náklady (Kč)</t>
  </si>
  <si>
    <t>Celkem</t>
  </si>
  <si>
    <t>F</t>
  </si>
  <si>
    <t>T</t>
  </si>
  <si>
    <t>Slepý stavební rozpočet - Jen objekty celkem</t>
  </si>
  <si>
    <t>Výkaz výměr</t>
  </si>
  <si>
    <t>Č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</si>
  <si>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</si>
  <si>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</si>
  <si>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</si>
  <si>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</si>
  <si>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</si>
  <si>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</si>
  <si>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</si>
  <si>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</si>
  <si>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</si>
  <si>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</si>
  <si>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14</t>
  </si>
  <si>
    <t>15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</si>
  <si>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</si>
  <si>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</si>
  <si>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</si>
  <si>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</si>
  <si>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</si>
  <si>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</si>
  <si>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</si>
  <si>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</si>
  <si>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</si>
  <si>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</si>
  <si>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</si>
  <si>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</si>
  <si>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32</t>
  </si>
  <si>
    <t>33</t>
  </si>
  <si>
    <t>35</t>
  </si>
  <si>
    <t>36</t>
  </si>
  <si>
    <t>37</t>
  </si>
  <si>
    <t>38</t>
  </si>
  <si>
    <t>39</t>
  </si>
  <si>
    <t>40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</si>
  <si>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</si>
  <si>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</si>
  <si>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</si>
  <si>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</si>
  <si>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</si>
  <si>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</si>
  <si>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</si>
  <si>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</si>
  <si>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</si>
  <si>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</si>
  <si>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</si>
  <si>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</si>
  <si>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</si>
  <si>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</si>
  <si>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58</t>
  </si>
  <si>
    <t>60</t>
  </si>
  <si>
    <t>61</t>
  </si>
  <si>
    <t>62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</si>
  <si>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</si>
  <si>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</si>
  <si>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</si>
  <si>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</si>
  <si>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</si>
  <si>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</si>
  <si>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</si>
  <si>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</si>
  <si>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</si>
  <si>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</si>
  <si>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</si>
  <si>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</si>
  <si>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</si>
  <si>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</si>
  <si>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</si>
  <si>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</si>
  <si>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</si>
  <si>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</si>
  <si>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</si>
  <si>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</si>
  <si>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</si>
  <si>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</si>
  <si>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</si>
  <si>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</si>
  <si>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</si>
  <si>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90</t>
  </si>
  <si>
    <t>92</t>
  </si>
  <si>
    <t>93</t>
  </si>
  <si>
    <t>94</t>
  </si>
  <si>
    <t>95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</si>
  <si>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</si>
  <si>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</si>
  <si>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</si>
  <si>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</si>
  <si>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</si>
  <si>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</si>
  <si>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</si>
  <si>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</si>
  <si>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</si>
  <si>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</si>
  <si>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</si>
  <si>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</si>
  <si>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</si>
  <si>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</si>
  <si>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</si>
  <si>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</si>
  <si>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</si>
  <si>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</si>
  <si>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</si>
  <si>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</si>
  <si>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</si>
  <si>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</si>
  <si>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</si>
  <si>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</si>
  <si>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</si>
  <si>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</si>
  <si>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</si>
  <si>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</si>
  <si>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</si>
  <si>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</si>
  <si>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</si>
  <si>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</si>
  <si>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</si>
  <si>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</si>
  <si>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</si>
  <si>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</si>
  <si>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</si>
  <si>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</si>
  <si>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</si>
  <si>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</si>
  <si>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</si>
  <si>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</si>
  <si>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</si>
  <si>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</si>
  <si>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</si>
  <si>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</si>
  <si>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</si>
  <si>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</si>
  <si>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</si>
  <si>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</si>
  <si>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</si>
  <si>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</si>
  <si>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</si>
  <si>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</si>
  <si>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</si>
  <si>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</si>
  <si>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</si>
  <si>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</si>
  <si>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</si>
  <si>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</si>
  <si>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</si>
  <si>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</si>
  <si>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</si>
  <si>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</si>
  <si>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</si>
  <si>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</si>
  <si>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</si>
  <si>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</si>
  <si>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</si>
  <si>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</si>
  <si>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</si>
  <si>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</si>
  <si>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</si>
  <si>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</si>
  <si>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</si>
  <si>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</si>
  <si>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</si>
  <si>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</si>
  <si>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</si>
  <si>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</si>
  <si>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</si>
  <si>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</si>
  <si>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</si>
  <si>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</si>
  <si>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</si>
  <si>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</si>
  <si>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</si>
  <si>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</si>
  <si>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</si>
  <si>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</si>
  <si>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</si>
  <si>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</si>
  <si>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</si>
  <si>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</si>
  <si>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</si>
  <si>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</si>
  <si>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</si>
  <si>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</si>
  <si>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</si>
  <si>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</si>
  <si>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</si>
  <si>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</si>
  <si>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</si>
  <si>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</si>
  <si>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</si>
  <si>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</si>
  <si>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</si>
  <si>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</si>
  <si>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</si>
  <si>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</si>
  <si>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</si>
  <si>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</si>
  <si>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</si>
  <si>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</si>
  <si>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</si>
  <si>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</si>
  <si>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</si>
  <si>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</si>
  <si>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10001</t>
  </si>
  <si>
    <t>10003</t>
  </si>
  <si>
    <t>10004</t>
  </si>
  <si>
    <t>10006</t>
  </si>
  <si>
    <t>10007</t>
  </si>
  <si>
    <t>10008</t>
  </si>
  <si>
    <t>10009</t>
  </si>
  <si>
    <t>100010</t>
  </si>
  <si>
    <t>10002</t>
  </si>
  <si>
    <t>100011</t>
  </si>
  <si>
    <t>113202111R00</t>
  </si>
  <si>
    <t>113151317R00</t>
  </si>
  <si>
    <t>113107633R00</t>
  </si>
  <si>
    <t>RTS komentář:</t>
  </si>
  <si>
    <t>113106121R00</t>
  </si>
  <si>
    <t>111202215R00</t>
  </si>
  <si>
    <t>112101113R00</t>
  </si>
  <si>
    <t>121101101R00</t>
  </si>
  <si>
    <t>122201101R00</t>
  </si>
  <si>
    <t>122201109R00</t>
  </si>
  <si>
    <t>131201110R00</t>
  </si>
  <si>
    <t>130901122RT3</t>
  </si>
  <si>
    <t>131201119R00</t>
  </si>
  <si>
    <t>162201102R00</t>
  </si>
  <si>
    <t>167101101R00</t>
  </si>
  <si>
    <t>162201452R00</t>
  </si>
  <si>
    <t>162201432R00</t>
  </si>
  <si>
    <t>162201442R00</t>
  </si>
  <si>
    <t>162702292R00</t>
  </si>
  <si>
    <t>174101102R00</t>
  </si>
  <si>
    <t>59691019.A</t>
  </si>
  <si>
    <t>174201202R00</t>
  </si>
  <si>
    <t>771990010RA0</t>
  </si>
  <si>
    <t>180402111R00</t>
  </si>
  <si>
    <t>184802111R00</t>
  </si>
  <si>
    <t>183403153R00</t>
  </si>
  <si>
    <t>00572400</t>
  </si>
  <si>
    <t>25234002.A</t>
  </si>
  <si>
    <t>181301102R00</t>
  </si>
  <si>
    <t>10364200</t>
  </si>
  <si>
    <t>183403131R00</t>
  </si>
  <si>
    <t>182951111RT2</t>
  </si>
  <si>
    <t>184921093R00</t>
  </si>
  <si>
    <t>10391100</t>
  </si>
  <si>
    <t>183205121R00</t>
  </si>
  <si>
    <t>185804312R00</t>
  </si>
  <si>
    <t>185851111R00</t>
  </si>
  <si>
    <t>184102211R00</t>
  </si>
  <si>
    <t>183101314R00</t>
  </si>
  <si>
    <t>183204112R00</t>
  </si>
  <si>
    <t>185804111R00</t>
  </si>
  <si>
    <t>183103121R00</t>
  </si>
  <si>
    <t>30042</t>
  </si>
  <si>
    <t>30041</t>
  </si>
  <si>
    <t>30040</t>
  </si>
  <si>
    <t>30039</t>
  </si>
  <si>
    <t>30038</t>
  </si>
  <si>
    <t>30037</t>
  </si>
  <si>
    <t>30036</t>
  </si>
  <si>
    <t>30035</t>
  </si>
  <si>
    <t>30034</t>
  </si>
  <si>
    <t>30033</t>
  </si>
  <si>
    <t>30032</t>
  </si>
  <si>
    <t>30031</t>
  </si>
  <si>
    <t>30030</t>
  </si>
  <si>
    <t>30029</t>
  </si>
  <si>
    <t>30028</t>
  </si>
  <si>
    <t>30027</t>
  </si>
  <si>
    <t>30026</t>
  </si>
  <si>
    <t>30025</t>
  </si>
  <si>
    <t>30024</t>
  </si>
  <si>
    <t>30023</t>
  </si>
  <si>
    <t>30022</t>
  </si>
  <si>
    <t>30021</t>
  </si>
  <si>
    <t>30020</t>
  </si>
  <si>
    <t>30019</t>
  </si>
  <si>
    <t>30018</t>
  </si>
  <si>
    <t>30017</t>
  </si>
  <si>
    <t>30016</t>
  </si>
  <si>
    <t>30015</t>
  </si>
  <si>
    <t>30014</t>
  </si>
  <si>
    <t>30013</t>
  </si>
  <si>
    <t>30012</t>
  </si>
  <si>
    <t>30011</t>
  </si>
  <si>
    <t>30010</t>
  </si>
  <si>
    <t>30009</t>
  </si>
  <si>
    <t>30008</t>
  </si>
  <si>
    <t>30007</t>
  </si>
  <si>
    <t>30006</t>
  </si>
  <si>
    <t>30005</t>
  </si>
  <si>
    <t>30004</t>
  </si>
  <si>
    <t>30003</t>
  </si>
  <si>
    <t>30002</t>
  </si>
  <si>
    <t>30001</t>
  </si>
  <si>
    <t>39999</t>
  </si>
  <si>
    <t>275311711R00</t>
  </si>
  <si>
    <t>275351215R00</t>
  </si>
  <si>
    <t>275351216R00</t>
  </si>
  <si>
    <t>275313711R00</t>
  </si>
  <si>
    <t>348181111R00</t>
  </si>
  <si>
    <t>436234001</t>
  </si>
  <si>
    <t>564851111RT2</t>
  </si>
  <si>
    <t>564851111R00</t>
  </si>
  <si>
    <t>564231111R00</t>
  </si>
  <si>
    <t>568111112R00</t>
  </si>
  <si>
    <t>69365041</t>
  </si>
  <si>
    <t>577132111RT2</t>
  </si>
  <si>
    <t>573211111R00</t>
  </si>
  <si>
    <t>577114116RT2</t>
  </si>
  <si>
    <t>573191111R00</t>
  </si>
  <si>
    <t>596215040R00</t>
  </si>
  <si>
    <t>594000011R00</t>
  </si>
  <si>
    <t>592451170</t>
  </si>
  <si>
    <t>596291113R00</t>
  </si>
  <si>
    <t>596811111RT2</t>
  </si>
  <si>
    <t>596811111R00</t>
  </si>
  <si>
    <t>639571210R00</t>
  </si>
  <si>
    <t>721001R00</t>
  </si>
  <si>
    <t>721242115R00</t>
  </si>
  <si>
    <t>721100012RAA</t>
  </si>
  <si>
    <t>998721201R00</t>
  </si>
  <si>
    <t>762520020RAA</t>
  </si>
  <si>
    <t>762712130R00</t>
  </si>
  <si>
    <t>762712120R00</t>
  </si>
  <si>
    <t>762712110R00</t>
  </si>
  <si>
    <t>60512121</t>
  </si>
  <si>
    <t>762085151R00</t>
  </si>
  <si>
    <t>762395000R00</t>
  </si>
  <si>
    <t>762911111R00</t>
  </si>
  <si>
    <t>998762202R00</t>
  </si>
  <si>
    <t>764252604R00</t>
  </si>
  <si>
    <t>764551603R00</t>
  </si>
  <si>
    <t>764900021R00</t>
  </si>
  <si>
    <t>764291420R00</t>
  </si>
  <si>
    <t>764259431R00</t>
  </si>
  <si>
    <t>764252634R00</t>
  </si>
  <si>
    <t>764530420R00</t>
  </si>
  <si>
    <t>998764201R00</t>
  </si>
  <si>
    <t>765799242R00</t>
  </si>
  <si>
    <t>60512601</t>
  </si>
  <si>
    <t>765901122R00</t>
  </si>
  <si>
    <t>765511110RT1</t>
  </si>
  <si>
    <t>998765201R00</t>
  </si>
  <si>
    <t>767000001</t>
  </si>
  <si>
    <t>767000002</t>
  </si>
  <si>
    <t>767000003</t>
  </si>
  <si>
    <t>767000004</t>
  </si>
  <si>
    <t>767000005</t>
  </si>
  <si>
    <t>767941001</t>
  </si>
  <si>
    <t>767995105R00</t>
  </si>
  <si>
    <t>13358528</t>
  </si>
  <si>
    <t>767995102R00</t>
  </si>
  <si>
    <t>13756545</t>
  </si>
  <si>
    <t>767995104R00</t>
  </si>
  <si>
    <t>15411745</t>
  </si>
  <si>
    <t>767995106R00</t>
  </si>
  <si>
    <t>767995107R00</t>
  </si>
  <si>
    <t>13384340</t>
  </si>
  <si>
    <t>998767201R00</t>
  </si>
  <si>
    <t>783626211R00</t>
  </si>
  <si>
    <t>783120014RAC</t>
  </si>
  <si>
    <t>899331111R00</t>
  </si>
  <si>
    <t>899332111R00</t>
  </si>
  <si>
    <t>894412311RA0</t>
  </si>
  <si>
    <t>917862111RT5</t>
  </si>
  <si>
    <t>916581112R00</t>
  </si>
  <si>
    <t>28324415</t>
  </si>
  <si>
    <t>965042241RT6</t>
  </si>
  <si>
    <t>998225111R00</t>
  </si>
  <si>
    <t>210220002RT2</t>
  </si>
  <si>
    <t>979082318R00</t>
  </si>
  <si>
    <t>979082119R00</t>
  </si>
  <si>
    <t>979093111R00</t>
  </si>
  <si>
    <t>979990001R00</t>
  </si>
  <si>
    <t>Zkrácený popis / Varianta</t>
  </si>
  <si>
    <t>Zařízení staveniště</t>
  </si>
  <si>
    <t xml:space="preserve">- zajištění PDZ, zvláštního užívání komunikace, omezení dopravy vč. příslušných povolení				_x000D_
- náklady na zařízení staveniště vč. napojení na potřebná media				_x000D_
- náklady související s případným zásahem do silničních pozemků				_x000D_
</t>
  </si>
  <si>
    <t>Provoz zařízení staveniště</t>
  </si>
  <si>
    <t>Odstranění zařízení staveniště</t>
  </si>
  <si>
    <t>Geodetické a projektové práce</t>
  </si>
  <si>
    <t xml:space="preserve">- technologický postup provádění prací_x000D_
- plán BOZP_x000D_
- výkresy výškopisného řešení ploch_x000D_
- dílenská dokumentace venkovní účebny_x000D_
- geodetické práce související s výstavbou, vytýčení stavby				_x000D_
- geodetické zaměření skutečného stavu jednotlivých objektů oprávněnou osobou (tiskopis v graf. formě 3x, v digitální formě 1x)				_x000D_
- geometrický plán pro zápis do KN				_x000D_
- doklady ke kolaudaci, revizní zprávy jsou-li vyžadovány				_x000D_
- projektová dokumentace skutečného provedení stavby se zákresem případných změn				_x000D_
</t>
  </si>
  <si>
    <t>Práce během výstavby a přidružené práce</t>
  </si>
  <si>
    <t xml:space="preserve">- průběžné čištění znečištěných komunikací stavbou				_x000D_
- zajištění výkopů (zábradlí) a přístupů k objektům (lávky,  budou využity dle postupu výstavby vždy v dotčeném prostoru)	_x000D_
- zajištění obslužného provozu - zásobování, svoz kom. odpadu, hasiči, záchranná služba				_x000D_
- zkoušky hutnění, únosnosti zemní pláně (dle požadavku investora), možno využít rázovou zatěžovací zkoušky po pravidelných intervalech 30,0 m, tzn. 5 ks zkoušek v prostoru chodníku				_x000D_
  dle požřadavku správce komunikace bude provedeno ověření únosnosti podkladních vrstev ze ŠD před pokládkou živice po pravidelných intervalech 30,0 m, tzn. 5 ks zkoušek po délce zásahu				_x000D_
- ochránění stávajících inženýrských sítí v prostoru stavby během výstavby				_x000D_
- zajištění zpětného předání dotčených ploch jednotlivým majitelům a správcům				_x000D_
- fotodokumentace stavby (průběžné provedení dle postupu výstavby, vždy při provedení nových konstrukcí - pro průkaznost jejich provedení a po dokončení stavby)				_x000D_
</t>
  </si>
  <si>
    <t>Vytýčení inženýrských sítí</t>
  </si>
  <si>
    <t>- vytýčení IS vč. provedení průzkumných sond</t>
  </si>
  <si>
    <t>Oprava stávajícího chodníku v případě poškození během provádění stavby</t>
  </si>
  <si>
    <t>Ochrana stávajících stromů a kořenového systému před poškozením</t>
  </si>
  <si>
    <t>Mimostaveništní doprava</t>
  </si>
  <si>
    <t xml:space="preserve">- geodetické práce související s výstavbou, vytýčení stavby				_x000D_
- geodetické zaměření skutečného stavu jednotlivých objektů oprávněnou osobou (tiskopis v graf. formě 3x, v digitální formě 1x)				_x000D_
- geometrický plán pro zápis do KN				_x000D_
- doklady ke kolaudaci, revizní zprávy jsou-li vyžadovány				_x000D_
- projektová dokumentace skutečného provedení stavby se zákresem případných změn				_x000D_
</t>
  </si>
  <si>
    <t>Rozpočtová rezerva na elektromontáže a případný posun VO</t>
  </si>
  <si>
    <t>Dočasné dopravní značení</t>
  </si>
  <si>
    <t>Vytrhání obrub obrubníků silničních</t>
  </si>
  <si>
    <t>Fréz.živič.krytu nad 500 m2, s překážkami, tl.8 cm</t>
  </si>
  <si>
    <t>Odstranění podkladu nad 50 m2,kam.drcené tl.33 cm</t>
  </si>
  <si>
    <t>Položka je určena i pro odstranění podkladů nebo krytů ze zemin stabilizovaných vápnem. Pro volbu položky z hlediska množství se uvažuje každá souvisle odstraňovaná plocha krytu nebo podkladu stejného druhu samostatně.Odstraňuje-li se několik vrstev vozovky najednou, jednotlivé vrstvy se oceňují každá samostatně.</t>
  </si>
  <si>
    <t>Rozebrání dlažeb z betonových dlaždic na sucho</t>
  </si>
  <si>
    <t>19,25   výšková úprava stávající dlažby</t>
  </si>
  <si>
    <t>40   Přeskládání okapového chodníku</t>
  </si>
  <si>
    <t>Položka není určena pro rozebrání dlažeb uložených do betonového lože a pro rozebrání dlažeb z mozaiky uložených do cementové malty. V položce nejsou zakalkulovány náklady na popř. nutné očištění vybouraných betonových dlaždic.</t>
  </si>
  <si>
    <t>Odfrézování pařezu, dřevina tvrdá, hl.20, D 50 cm</t>
  </si>
  <si>
    <t>Kácení stromů listnatých průměru 40 cm, svah 1:5</t>
  </si>
  <si>
    <t>Sejmutí ornice s přemístěním do 50 m</t>
  </si>
  <si>
    <t>10,25   Strhnutí ornice podél obrub</t>
  </si>
  <si>
    <t>80*0,1   Mlatová plocha A</t>
  </si>
  <si>
    <t>V položce je obsaženo i uložení na dočasnou skládku v příslušné vzdálenosti, pokud na 1 m2 skládky nepřipadá více jak 2 m3 ornice. V opačném případě se uložení musí dokalkulovat. STANDARDY KONSTRUKCÍ Obsah standardu je popsán následujícími technickými a kvalitativními parametry.  Odstranění travin, rákosu ruderálního porostu, stařiny, zřízení protipožárních pásů a kosení ve vegetačním období s ponecháním na místě Odstraněním travin a rákosu se rozumí ruční posekání travin, rákosu a také všech zemědělských plodin, ruderálního porostu, stařiny apod. kosou. Obsahem standardu je pro odstranění travin ruční posekání trávy a rákosu se shrabání hráběmi a odnosem 50 m a uložením na hromady, pro odstranění ruderálního porostu a odstranění stařiny kosení, naložení shrabků, odvoz do 20 km a složení, pro protipožární pásy</t>
  </si>
  <si>
    <t>srýpnutí organického půdního krytu až na minerální půdu, vykopání a odhrabání organických látek a jejich odstranění na vzdálenost do 2 m, pro odstranění rákosu, plazivého rostlinstva a bodláčí práce při hloubce vody do 300 mm, vybrání a svázání prutů pro průmyslové účely do snopků vázacím drátem a odklizení a uložení až na vzdálenost do 20 m od kraje hladiny v dané době, pro vytrhání bodláčí uložení na hromady mimo pěstované travní plochy a spálení po seschnutí Popis standardu musí vymezit druh traviny, hustotu porostu a kosenou plochu.  Celoplošné vyžínání buřeně v lesních výsadbách Celoplošným vyžínáním buřeně v lesních výsadbách se rozumí odstranění maliní, ostružiní, křovin apod. Obsahem standardu je kosení, shrabání a složení do hromad  Odstranění křovin a stromů s odstraněním nebo ponecháním kořenů,</t>
  </si>
  <si>
    <t>seřezání vrbového proutí, prořezávka porostů.  Odstraněním křovin a stromů s odstraněním nebo ponecháním kořenů, seřezání vrbového proutí, prořezávka porostů a spálení křovin větví a stromů se rozumí odstranění křovin a stromů o průměru kmene do 100 mm, seřezávka vrbového proutí na vegetačních zpevněních, prořezávka porostů, spálení křovin, větví a stromů a odstranění pařezů odfrézováním. Obsahem standardu je: odstranění keřovitého porostu a seřezání vrbového proutí na vegetačních zpevněních (křoviny a stromky o průměru kmenů do 5 cm) ruční pilkou nebo sekerkou nad 5 cm motorovou pilou s odstraněním kořenů a složením do hromad do vzdálenosti 20 m ( průměrný počet stromků nebo keřů na 1 m2: řídký porost 1 ks, středně hustý 3 ks, hustý přes 3 ks), prořezávka porostů, výběr, prořezání a ponechání vytěženého nehroubí</t>
  </si>
  <si>
    <t>na místě, spálení odstraněných křovin, přihrnování křovin, očištění spáleniště, uložení popela a zbytků na hromadu, odstranění pařezů pojezdem traktoru s frézou na pařezy, nutné přemístění a uložení na hromady na vzdálenost do50 m nebo naložení na dopravní prostředek do sklonu terénu 1 : 5.</t>
  </si>
  <si>
    <t>Odkopávky nezapažené v hor. 3 do 100 m3</t>
  </si>
  <si>
    <t>42,05   Odkopávka konstrukčních vrstev</t>
  </si>
  <si>
    <t>16   Mlatová plocha A</t>
  </si>
  <si>
    <t>Příplatek za lepivost - odkopávky v hor. 3</t>
  </si>
  <si>
    <t>Do měrných jednotek se udává poměrné množství zeminy, které ulpí v nářadí a o které je snížen celkový výkon stroje.</t>
  </si>
  <si>
    <t>Hloubení nezapaž. jam hor.3 do 50 m3, STROJNĚ</t>
  </si>
  <si>
    <t>1,05   skruž</t>
  </si>
  <si>
    <t>0,7*0,7*1*9   Patky pod učebnu</t>
  </si>
  <si>
    <t>Položka obsahuje hloubení jámy traktorbagrem, naložení výkopku na dopravní prostředek pro svislé, nebo vodorovné přemístění, popř. přemístění výkopku do 3 m (po povrchu území), případné zajištění rypadel polštáři, udržování pracoviště a ochranu výkopiště proti stékání srážkové vody z okolního terénu i s jejím odvodněním, nebo odvedením, přesekání a odstranění kořenů ve výkopišti, odstranění napadávek, urovnání dna výkopu.</t>
  </si>
  <si>
    <t>Bourání konstrukcí z betonu prokl.kam.ve vykopávk.</t>
  </si>
  <si>
    <t>Položka neobsahuje svislou ani vodorovnou přepravu vybouraného materiálu, ani uložení a poplatek za skládku.</t>
  </si>
  <si>
    <t>Příplatek za lepivost - hloubení nezap.jam v hor.3</t>
  </si>
  <si>
    <t>Vodorovné přemístění výkopku z hor.1-4 do 50 m</t>
  </si>
  <si>
    <t>18,25+58,05+3,99   Odvoz na mezideponii</t>
  </si>
  <si>
    <t>18,25+58,05+3,99   Dovoz z mezideponie</t>
  </si>
  <si>
    <t>Nakládání výkopku z hor.1-4 v množství do 100 m3</t>
  </si>
  <si>
    <t>18,25+58,05+3,99   </t>
  </si>
  <si>
    <t>13,75+3,35   Uložení na mezideponii</t>
  </si>
  <si>
    <t>13,75+3,35   Vrácení z mezideponie</t>
  </si>
  <si>
    <t>Vodorovné přemístění pařezů  D 50 cm do 2000 m</t>
  </si>
  <si>
    <t>Vod.přemístění větví listnatých, D 50 cm do 2000 m</t>
  </si>
  <si>
    <t>Vod.přemístění kmenů listnatých, D 50 cm do 2000 m</t>
  </si>
  <si>
    <t>Poplatek za skládku: větve a kulatiny</t>
  </si>
  <si>
    <t>13,75+3,35   </t>
  </si>
  <si>
    <t>Zásyp ruční se zhutněním</t>
  </si>
  <si>
    <t>Položka obsahuje přemístění materiálu pro zásyp ze vzdálenosti do 15 m od hrany zasypávaného prostoru - bez použití strojů. Položka je určena pro sypané konstrukce vyplňující prostor pod úrovní terénu v prostorách, kde není možné použít těžkou mechanizaci.</t>
  </si>
  <si>
    <t>Recyklovaná zemina</t>
  </si>
  <si>
    <t>1,2*1,6   Doplnění zeminy</t>
  </si>
  <si>
    <t>Zásyp jam po pařezech D 50 cm</t>
  </si>
  <si>
    <t>25,5   Dosypání za obruby</t>
  </si>
  <si>
    <t>172,5   Dosypání odtěžených ploch</t>
  </si>
  <si>
    <t>80*0,04   Mlatová plocha</t>
  </si>
  <si>
    <t>135,06*1,6   Doplnění zeminy</t>
  </si>
  <si>
    <t>Vybourání keramické nebo teracové dlažby</t>
  </si>
  <si>
    <t>39+16,5   </t>
  </si>
  <si>
    <t>V položce není kalkulován poplatek za skládku pro vybouranou suť. Tyto náklady se oceňují individuálně podle místních podmínek. Orientační hmotnost vybouraných konstrukcí je 0,065 t/m2 konstrukce.</t>
  </si>
  <si>
    <t>Založení trávníku parkového výsevem v rovině</t>
  </si>
  <si>
    <t>2025   Původní travnatá plocha</t>
  </si>
  <si>
    <t>130   Nová travnatá plocha</t>
  </si>
  <si>
    <t>V položce nejsou zakalkulovány náklady na vypletí a zalévání.</t>
  </si>
  <si>
    <t>Chem. odplevelení před založ. postřikem, v rovině</t>
  </si>
  <si>
    <t>33,5   Bylinkový záhon</t>
  </si>
  <si>
    <t>107   Edukativní záhon</t>
  </si>
  <si>
    <t>206,95   Záhon tab. č. 1</t>
  </si>
  <si>
    <t>204,3   Záhon tab. č. 2</t>
  </si>
  <si>
    <t>207,25   Záhon tab. č. 3</t>
  </si>
  <si>
    <t>Obdělání půdy hrabáním, v rovině</t>
  </si>
  <si>
    <t>Směs travní parková I. běžná zátěž</t>
  </si>
  <si>
    <t>2025*0,03   Původní travnatá plocha</t>
  </si>
  <si>
    <t>130*0,03   Nová travnatá plocha</t>
  </si>
  <si>
    <t>pro běžnou zátěž  balení 25 kg obj. č. 4417</t>
  </si>
  <si>
    <t>herbicid totální po 20 litrech</t>
  </si>
  <si>
    <t>2025*0,01   Původní travnatá plocha</t>
  </si>
  <si>
    <t>130*0,01   Nová travnatá plocha</t>
  </si>
  <si>
    <t>33,5*0,01   Bylinkový záhon</t>
  </si>
  <si>
    <t>107*0,01   Edukativní záhon</t>
  </si>
  <si>
    <t>206,95*0,01   Záhon tab. č. 1</t>
  </si>
  <si>
    <t>204,3*0,01   Záhon tab. č. 2</t>
  </si>
  <si>
    <t>207,25*0,01   Záhon tab. č. 3</t>
  </si>
  <si>
    <t>Rozprostření ornice, rovina, tl. 10-15 cm,do 500m2</t>
  </si>
  <si>
    <t>Položka se používá pro souvislé plochy do 500 m2.</t>
  </si>
  <si>
    <t>Ornice pro pozemkové úpravy</t>
  </si>
  <si>
    <t>0,5   Doplnění ornice</t>
  </si>
  <si>
    <t>Podle současné legislativy ornice nesmí být předmětem prodeje. Může být věnována za účelem použití na jiném místě.  Firma, která se zabývá pozemkovými úpravami takovou ornici na své náklady odveze, uloží a ošetřuje vhodným způsobem tj. s ohledem na zachování půdního života. Takto vznikají na ornici náklady cca ve výši 380-450 Kč/m3.</t>
  </si>
  <si>
    <t>40*0,03   </t>
  </si>
  <si>
    <t>40*0,01   </t>
  </si>
  <si>
    <t>85   Rozprostření za obruby</t>
  </si>
  <si>
    <t>345   Rozprostření na odtěžených plochách</t>
  </si>
  <si>
    <t>24,75   Doplnění ornice</t>
  </si>
  <si>
    <t>Obdělání půdy rytím do 20 cm hor. 1 až 2, v rovině</t>
  </si>
  <si>
    <t>Položení netkané textilie bez upevnění</t>
  </si>
  <si>
    <t>Mulčování rostlin tl. do 0,1 m rovina</t>
  </si>
  <si>
    <t>Kůra mulčovací</t>
  </si>
  <si>
    <t>33,5*0,1   Bylinkový záhon</t>
  </si>
  <si>
    <t>107*0,1   Edukativní záhon</t>
  </si>
  <si>
    <t>206,95*0,1   Záhon tab. č. 1</t>
  </si>
  <si>
    <t>204,3*0,1   Záhon tab. č. 2</t>
  </si>
  <si>
    <t>207,25*0,1   Záhon tab. č. 3</t>
  </si>
  <si>
    <t>Založení záhonu v rovině/svah 1 : 5, starý trávník</t>
  </si>
  <si>
    <t>Zalití rostlin vodou plochy nad 20 m2</t>
  </si>
  <si>
    <t>33,5*0,025   Bylinkový záhon</t>
  </si>
  <si>
    <t>107*0,025   Edukativní záhon</t>
  </si>
  <si>
    <t>206,95*0,025   Záhon tab. č. 1</t>
  </si>
  <si>
    <t>204,3*0,025   Záhon tab. č. 2</t>
  </si>
  <si>
    <t>207,25*0,025   Záhon tab. č. 3</t>
  </si>
  <si>
    <t>Dovoz vody pro zálivku rostlin do 6 km</t>
  </si>
  <si>
    <t>Výsadba keře bez balu výšky do 1 m, v rovině</t>
  </si>
  <si>
    <t>Hloub. jamek s výměnou 100% půdy do 0,125 m3, 1:5</t>
  </si>
  <si>
    <t>Výsadba trvalek</t>
  </si>
  <si>
    <t>Ošetření vysázených květin v rovině</t>
  </si>
  <si>
    <t>Kopání jamek D 25cm,hl.25cm,zabuř.zem.1,2,3,park</t>
  </si>
  <si>
    <t>PENISSETUM ALUPECUROIDES JAPONICUM - TRAVINA K9, E3</t>
  </si>
  <si>
    <t>ECHINACEA PURPUREA - TRVALKA VYŠŠÍ K9, D3</t>
  </si>
  <si>
    <t>PANICUM VIRGATUM STRICTUM - TRAVINA - ČERVENÉ KONCE LISTŮ K9,C3</t>
  </si>
  <si>
    <t>ACHILLEA FILIPENDULINA CREDO - ŘEBŘÍČEK ŽLUTÝ K9, B3</t>
  </si>
  <si>
    <t>HEMEROCALLIS LILIOASPHODEUS - DENIVKA K9, A3</t>
  </si>
  <si>
    <t>SALVIA NEMOROSA - ČEMEŘICE K9, F2</t>
  </si>
  <si>
    <t>ASTILBE ARENDSII - ČECHRAVA TRVALKA K9, E2</t>
  </si>
  <si>
    <t>ASTER DUMOSUS - ASTRA K9, D2</t>
  </si>
  <si>
    <t>ALLIUM GIGANTEUM - ČESNEK OKRASNÝ CIBULE, C2</t>
  </si>
  <si>
    <t>PENISSETUM ALUPECUROIDES JAPONICUM - TRAVINA NIŽŠÍ K9,B2</t>
  </si>
  <si>
    <t>DESCHAMPSIA CAESPITOSA SCHOTTLAND - TRAVINA K9, A2</t>
  </si>
  <si>
    <t>VERBENA BONARIENSIS - VERBENA TRVALKA K9, B2</t>
  </si>
  <si>
    <t>MISCANTHUS SINENSIS GRACILLIMUS - OZDOBNICE TRAVINA K9,A1</t>
  </si>
  <si>
    <t>SATUREJA MONTANA - SATUREJKA K9, Oe</t>
  </si>
  <si>
    <t>ORIGANUM VULGARE - OREGÁNO K9, Ne</t>
  </si>
  <si>
    <t>SALVIA PRATENSIS SVAM LAKE - ŠALVĚJ K9, Me</t>
  </si>
  <si>
    <t>PAPAVER ORIENTALE - MÁK K9, Le</t>
  </si>
  <si>
    <t>PETROSELINUM CRISPUM - PETRŽEL K9, Ke</t>
  </si>
  <si>
    <t>ALLIUM SCHOENOPRASUM - PAŽITKA K9, Je</t>
  </si>
  <si>
    <t>RHEUM REBARBORUM - REBARBORA K9, Ie</t>
  </si>
  <si>
    <t>MENTHA AQUATICA - MÁTA K9, He</t>
  </si>
  <si>
    <t>FRAGARIA VESCA RUJANA - JADHODNÍK K9, Ge</t>
  </si>
  <si>
    <t>BUDDELEIA DAVIDII - MOTÝLÍ KEŘ 40-60cm, Fe</t>
  </si>
  <si>
    <t>VERONICA SERPHYFOLIUM - ROZRAZIL K9, Ee</t>
  </si>
  <si>
    <t>THYMUS VULGARIS - TYMIÁN K9, De</t>
  </si>
  <si>
    <t>THYMUS PREACOX COCCINEUS - TYMIÁN K9, Ce</t>
  </si>
  <si>
    <t>SALVIA OFFICINALIS - ŠALVĚJ K9, Be</t>
  </si>
  <si>
    <t>LEVANDULA OFFICINALIS - LEVANDULE K9, Ae</t>
  </si>
  <si>
    <t>FRAGARIA VESCA TUBBY RED - JAHODNÍK K9, Ob</t>
  </si>
  <si>
    <t>RHEUM RHABARBARUM - REBARBORA K9, Nb</t>
  </si>
  <si>
    <t>THYMUS VULGARIS FREDO - TYMIÁN K9, Mb</t>
  </si>
  <si>
    <t>STEVIA REREBAURDIANA SWEETY - STÉVIE K9, Lb</t>
  </si>
  <si>
    <t>PETROSELINUM CRISPUM - PETRŽEL K9, Kb</t>
  </si>
  <si>
    <t>ORIGANUM VULGARE AROMATA - OREGANO K9, Ib</t>
  </si>
  <si>
    <t>MENTHA PIPERITA AFTER EIGHT - MÁTA ČOKOLÁDOVÁ K9, Hb</t>
  </si>
  <si>
    <t>MENTHA PIPERITA ORANGE - MÁTA POMERANČOVÁ K9, Gb</t>
  </si>
  <si>
    <t>MENTHA PIPERITA LEMON - MÁTA CITRÓNOVÁ K9</t>
  </si>
  <si>
    <t>MELISA OFFICINALIS - MEDUŇKA K9, Fb</t>
  </si>
  <si>
    <t>MAJORANA HORTENZIS VENEZIA - MAJORÁNKA K9, Eb</t>
  </si>
  <si>
    <t>LEVISTICUM OFFICINALE - LIBEČEK K9, Db</t>
  </si>
  <si>
    <t>ALLIUM URSINUM GISMO - MEDVĚDÍ ČESNEK K9, Cb</t>
  </si>
  <si>
    <t>ANETHUM GRAVEOLENS - KOPR K9, Bb</t>
  </si>
  <si>
    <t>ALLIUM SCHOENOPRASUM - PAŽITKA K9, Ab</t>
  </si>
  <si>
    <t>Rezerva na uhynulé rostliny</t>
  </si>
  <si>
    <t>Beton základ. patek prokl. kamenem C 20/25</t>
  </si>
  <si>
    <t>0,4*0,4*0,3*2*8   Stojany pro kola</t>
  </si>
  <si>
    <t>0,5*0,5*0,2*2   Odpadkové koše</t>
  </si>
  <si>
    <t>0,4*0,6*0,3*2*7   Lavičky</t>
  </si>
  <si>
    <t>Položka obsahuje náklady na dodávku a uložení betonu včetně kamene do připravené konstrukce. Bednění se oceňuje samostatně.</t>
  </si>
  <si>
    <t>Bednění stěn základových patek - zřízení</t>
  </si>
  <si>
    <t>(0,4+0,4+0,4+0,4)*0,4*2*8   Stojany pro kola</t>
  </si>
  <si>
    <t>(0,5+0,5+0,5+0,5)*0,3*2   Odpadkové koše</t>
  </si>
  <si>
    <t>(0,4+0,6+0,6+0,4)*0,4*2*7   Lavičky</t>
  </si>
  <si>
    <t>Bednění stěn základových patek - odstranění</t>
  </si>
  <si>
    <t>Beton základových patek prostý C 25/30</t>
  </si>
  <si>
    <t>Položka obsahuje náklady na dodávku a uložení betonu do připravené konstrukce. Bednění se oceňuje samostatně.</t>
  </si>
  <si>
    <t>Zábradlí dřevěné hoblované trvalé bez výplně</t>
  </si>
  <si>
    <t>Stupnice z přírodního kamene v=150mm, š=1000mm, hl=350mm</t>
  </si>
  <si>
    <t>Podklad ze štěrkodrti po zhutnění tloušťky 15 cm</t>
  </si>
  <si>
    <t>685   Podsyp pod asfalt</t>
  </si>
  <si>
    <t>56,67   Podsyp pod obruby</t>
  </si>
  <si>
    <t>80   Mlatová plocha</t>
  </si>
  <si>
    <t>Podklad ze štěrkopísku po zhutnění tloušťky 10 cm</t>
  </si>
  <si>
    <t>Zřízení vrstvy z geotextilie skl.do 1:5,š.do 7,5 m</t>
  </si>
  <si>
    <t>39,3+80   </t>
  </si>
  <si>
    <t>Geotextilie netkaná 200g 2x50 m</t>
  </si>
  <si>
    <t>(39,3+80)*1,1   </t>
  </si>
  <si>
    <t>Geotextilie Geomatex RPES je netkaná geotextilie pro stavební účely vyrobená moderní technologií. Hlavním výrobním polymerem je 100% recyklovaný polyester (PET). Barva: multicolor. Používá se v opěrných konstrukcích, liniových stavbách, skládkách odpadů, drenážních systémech apod.  role 50 x 2 m  Použití: opěrné zdi a mostní opěry stabilizace podkladních vrstev a podloží skládky odpadů tunely a podzemní stavby dopravní stavby (silnice, železnice, parkoviště, kontejnerová přístaviště, letiště atd.) svahy, násypy, sesuvy základy staveb a zemní stavby</t>
  </si>
  <si>
    <t>Beton asfalt. ACO 11+ obrusný, š.nad 3 m, tl. 4 cm</t>
  </si>
  <si>
    <t>Postřik živičný spojovací z asfaltu 0,5-0,7 kg/m2</t>
  </si>
  <si>
    <t>Beton asf.ACL 16 S,modif.ložný š. do 3 m, tl. 7 cm</t>
  </si>
  <si>
    <t>Nátěr infiltrační kationaktivní emulzí 1kg/m2</t>
  </si>
  <si>
    <t>Kladení zámkové dlažby tl. 8 cm do drtě tl. 4 cm</t>
  </si>
  <si>
    <t>Od CÚ 2015/ II. není v jednotkové ceně započteno řezání dlaždic!!! Rozpočtuje se samostatnou položkou 596 29-1113.R00 Řezání zámkové dlažby tl. 80 mm. V položce jsou zakalkulovány i náklady na dodání hmot pro lože a na dodání materiálu na výplň spár. V položce nejsou zakalkulovány náklady na dodání zámkové dlažby, která se oceňuje ve specifikaci, ztratné se doporučuje ve výši 5%.</t>
  </si>
  <si>
    <t>Dodávka a montáž žlabu odvodňovacího 100 S, C250 šířka 130 mm, stavební výška 130 mm</t>
  </si>
  <si>
    <t>51,25   Nový chodník</t>
  </si>
  <si>
    <t>Dlažba zámková 20x10x8 cm přírodní</t>
  </si>
  <si>
    <t>51,25*1,1   </t>
  </si>
  <si>
    <t>Impregnace Protect System IN</t>
  </si>
  <si>
    <t>Řezání zámkové dlažby tl. 80 mm</t>
  </si>
  <si>
    <t>Kladení dlaždic kom.pro pěší, lože z kameniva těž.</t>
  </si>
  <si>
    <t>V položce jsou zakalkulovány i náklady na dodání hmot pro lože a na dodání téhož materiálu pro výplň spár. V položce nejsou zakalkulovány náklady na dodání dlaždic, které se oceňují ve specifikaci, ztratné se doporučuje ve výši 5%.  Část lože přesahující tloušťku 3 cm se oceňuje položkami souboru 451 ..-9 Příplatek za každých dalčích 10 mm tloušťky podkladu nebo lože.</t>
  </si>
  <si>
    <t>Přeskládání okapového chodníku.</t>
  </si>
  <si>
    <t>Kačírek pro okapový chodník tl. 100 mm</t>
  </si>
  <si>
    <t>Bez obrubníku.</t>
  </si>
  <si>
    <t>Napojení potrubí na stávající kanalizaci</t>
  </si>
  <si>
    <t>Lapač střešních splavenin litinový DN 100</t>
  </si>
  <si>
    <t>Kanalizace vnitřní, PVC, D 125 mm, zemní práce</t>
  </si>
  <si>
    <t>7,75+4,5   </t>
  </si>
  <si>
    <t>V položce je zakalkulováno: Výkop rýhy ruční, odvoz výkopku do 10 m, lože pod potrubí ze štěrkopísku, dodávka a montáž potrubí z trub PVC vnějšího průměru dle popisu , zkouška těsnosti potrubí, obsyp potrubí a zásyp rýhy sypaninou.</t>
  </si>
  <si>
    <t>Přesun hmot pro vnitřní kanalizaci, výšky do 6 m</t>
  </si>
  <si>
    <t>Podlaha z fošen hrubých na sraz</t>
  </si>
  <si>
    <t>Montáž vázaných konstrukcí hraněných do 288 cm2</t>
  </si>
  <si>
    <t>26,16+14+10+30,72+29,85   </t>
  </si>
  <si>
    <t>V položce jsou zakalkulovány i naklady na vyvrtání děr, osazení svorníků a dotažení rektifikačních článků. V položce nejsou zakalkulovány náklady na montáž hmoždinek a táhel.Tyto práce se oceňují položkami souboru 762 31 Montáž hmoždinek a táhel.V položce rovněž nejsou zakalkulovány náklady na dodávku řeziva.Tato dodávka se oceňuje ve specifikaci, ztratné se doporučuje ve výši 8%.</t>
  </si>
  <si>
    <t>Montáž vázaných konstrukcí hraněných do 224 cm2</t>
  </si>
  <si>
    <t>Montáž vázaných konstrukcí hraněných do 120 cm2</t>
  </si>
  <si>
    <t>80+56,2   </t>
  </si>
  <si>
    <t>Řezivo jehličnaté - hranoly - jak. I L=4-6 m</t>
  </si>
  <si>
    <t>Hoblování řeziva</t>
  </si>
  <si>
    <t>Hoblování jakýchkoliv dřevěných profilů strojně na pile.</t>
  </si>
  <si>
    <t>Spojovací a ochranné prostředky pro střechy</t>
  </si>
  <si>
    <t>Položka je určena pouze pro soubory:  762 33 Montáž vázaných konstrukcí krovů 762 34 Montáž bednění a laťování, 762 35 Montáž nadstřešních konstrukcí, 762 36 Montáž spádových klínů.</t>
  </si>
  <si>
    <t>Impregnace řeziva máčením fugnicidním a insekticidním přípravkem</t>
  </si>
  <si>
    <t>(26,16+30,72+29,95)*(0,15*4)   </t>
  </si>
  <si>
    <t>56,52*(0,06+0,06+0,18+0,18)   </t>
  </si>
  <si>
    <t>24*(0,15+0,15+0,18+0,18)   </t>
  </si>
  <si>
    <t>61,2*(0,06+0,06+0,16+0,16)   </t>
  </si>
  <si>
    <t>80*(0,06+0,06+0,14+0,14)   </t>
  </si>
  <si>
    <t>Koncentrovaný vodou ředitelný fungicidní a insekticidní přípravek na dřevo i zdivo. Přípravek poskytuje dlouhodobou ochranu proti dřevokaznému hmyzu, dřevokazným houbám a plísním. Aplikuje se máčením (1x).</t>
  </si>
  <si>
    <t>Přesun hmot pro tesařské konstrukce, výšky do 12 m</t>
  </si>
  <si>
    <t>Žlab podokapní půlkulatý TiZn rš. 333 mm</t>
  </si>
  <si>
    <t>Svod z Ti Zn, kruhový, D 100 mm</t>
  </si>
  <si>
    <t>Okapový plech rš. 350 TiZn</t>
  </si>
  <si>
    <t>Podokapní žlab TiZn rš. 350mm</t>
  </si>
  <si>
    <t>Závětrná lišta z Ti Zn plechu, rš 330 mm</t>
  </si>
  <si>
    <t>Kotlík čtyřhran. pro žlaby Ti Zn 200x250x300 mm</t>
  </si>
  <si>
    <t>Plech dovoz z Francie</t>
  </si>
  <si>
    <t>Čelo žlabu půlkulatého TiZn rš.333 mm</t>
  </si>
  <si>
    <t>Oplechování základového rámu Ti Zn plechu, rš 330 mm</t>
  </si>
  <si>
    <t>26,62   </t>
  </si>
  <si>
    <t>Položka je kalkulována pro oplechování zdí a nadezdívek včetně rohů.</t>
  </si>
  <si>
    <t>Přesun hmot pro klempířské konstr., výšky do 6 m</t>
  </si>
  <si>
    <t>Montáž bednění z prken nad 10 m2</t>
  </si>
  <si>
    <t>Položka je určena pro montáž podkladní konstrukce krytiny bedněním z prken, jednotlivých ploch nad 10 m2 a obsahuje pouze montážní práce na střeše o sklonu do 35°. Veškerý materiál se ocení ve specifikaci. Montáž bednění přes 35° do 45° se ocení příplatkem za sklon položkou č. 765 79-9245 a ve sklonu přes 45° se stanoví individuálně.</t>
  </si>
  <si>
    <t>Prkno, fošna SM/JD hoblované</t>
  </si>
  <si>
    <t>43,892*0,025*1,1   </t>
  </si>
  <si>
    <t>Fólie podstřešní paropropustná  D 140</t>
  </si>
  <si>
    <t>Položka neobsahuje náklady na kontralatě; tyto náklady se oceňují samostatně.</t>
  </si>
  <si>
    <t>Krytina ze živičného šindele, jedn. bednění s lep.</t>
  </si>
  <si>
    <t>Položka je určena pro zastřešení na bednění s lepenkou.</t>
  </si>
  <si>
    <t>Přesun hmot pro krytiny tvrdé, výšky do 6 m</t>
  </si>
  <si>
    <t>D+M Stojan na kola, pro 5 kol</t>
  </si>
  <si>
    <t>Viz. obrázek č. 1 v PD, např CENTRUM II</t>
  </si>
  <si>
    <t>D+M Venkovní odpakový koš se stříškou</t>
  </si>
  <si>
    <t>Viz. obrázek č. 2 v PD</t>
  </si>
  <si>
    <t>D+M Venkovní lavička</t>
  </si>
  <si>
    <t>Viz. obrázek č. 3 v PD</t>
  </si>
  <si>
    <t>Přesun betonových květináčů před budovu ZŠMA</t>
  </si>
  <si>
    <t>D+M Výuková tabule</t>
  </si>
  <si>
    <t>Nosné svary stropní konstr. nosníků tl. do 10 mm</t>
  </si>
  <si>
    <t>7+7+7+4,72+4,72   </t>
  </si>
  <si>
    <t>Výroba a montáž kov. atypických konstr. do 100 kg</t>
  </si>
  <si>
    <t>112,95   Montáž lemování</t>
  </si>
  <si>
    <t>Ocel pásová jakost S235  70x4,0 mm</t>
  </si>
  <si>
    <t>45*0,00251   </t>
  </si>
  <si>
    <t>hmotnost 2,51 kg/m</t>
  </si>
  <si>
    <t>Výroba a montáž kov. atypických konstr. do 10 kg</t>
  </si>
  <si>
    <t>42,6   </t>
  </si>
  <si>
    <t>19,807   </t>
  </si>
  <si>
    <t>Plech hladký jakost 11321.21  1,00x1000x2000 mm</t>
  </si>
  <si>
    <t>7,1*6*0,001*1,1   Patní plech</t>
  </si>
  <si>
    <t>19,807*1,1*0,001   Montážní profil - kotvící prvek</t>
  </si>
  <si>
    <t>válcovaný za studena  PLECH VÁLC.ZA STUDENA ČSN 42 6312.32, ČSN 42 0127, zn. 11 321.21 DLE ČSN,matný, maštěný  PLECH VÁLC.ZA STUDENA EN 10131, zn. DC01 DLE EN 10130+A1, matný, maštěný</t>
  </si>
  <si>
    <t>Výroba a montáž kov. atypických konstr. do 50 kg</t>
  </si>
  <si>
    <t>85,747   </t>
  </si>
  <si>
    <t>Profil L rovnoramenný S235 70x70x3 mm</t>
  </si>
  <si>
    <t>85,747*0,001*1,1   </t>
  </si>
  <si>
    <t>hmotnost 2,71 kg/m  Profilová ocel tvářená za studena  PROFILY OTEVŘENÉ TVARU L ČSN 42 6949, ČSN 42 0121, ČSN 41 1373.0, Č.PR.4901930  S235JR (1.0038) dle EN 10025-2 Obdobná: 11 375</t>
  </si>
  <si>
    <t>Výroba a montáž kov. atypických konstr. do 250 kg</t>
  </si>
  <si>
    <t>354,944   Základový rám 2XU160</t>
  </si>
  <si>
    <t>Výroba a montáž kov. atypických konstr. do 500 kg</t>
  </si>
  <si>
    <t>789,6   </t>
  </si>
  <si>
    <t>Tyč průřezu U 160, střední, jakost oceli S235</t>
  </si>
  <si>
    <t>3*2*18,8*7*0,001*1,1   </t>
  </si>
  <si>
    <t>2*2*18,8*4,72*0,001*1,1   </t>
  </si>
  <si>
    <t>Tyče tvarové z konstrukčních ocelí válcované za tepla.  ČSN 42 0135 - Technické dodací předpisy ČSN 42 5570 - Rozměry  V tyčích délky 12 m, hmotnost 18,80 kg/m.  TYČ TVAROVÁ U VÁLC. ZA TEPLA ČSN 42 5570, ČSN 42 0135, zn. 11 375.0</t>
  </si>
  <si>
    <t>Přesun hmot pro zámečnické konstr., výšky do 6 m</t>
  </si>
  <si>
    <t>Nátěr truhlářských výrobků lazurovací 2x</t>
  </si>
  <si>
    <t>Ochranná exteriérová a interiérová lazurovací tenkovrstvá povrchová úprava. Chrání před atmosférickými vlivy, slunečními paprsky, vlhkostí, vodou, růstem plísní a hub a před napadením dřevokaznými houbami. Před nátěrem se dřevo opatří impregnačním nátěrem položka č. 78362-6001.</t>
  </si>
  <si>
    <t>Nátěr OK lehkých "C" syntetický</t>
  </si>
  <si>
    <t>0,3*0,3*2*6   </t>
  </si>
  <si>
    <t>(7+7+4,72+4,72+7)*(0,16*4)   </t>
  </si>
  <si>
    <t>12,76*(0,07+0,07+0,14)   </t>
  </si>
  <si>
    <t>(0,05*0,07*72*2)   </t>
  </si>
  <si>
    <t>Výšková úprava šachty do 20 cm, zvýšení poklopu</t>
  </si>
  <si>
    <t>Výšková úprava šachty do 20 cm, snížení poklopu</t>
  </si>
  <si>
    <t>Šachta, DN 1000 stěna 120 mm, dno přímé hloubka 1000mm</t>
  </si>
  <si>
    <t>V položce je zakalkulováno: osazení betonového dna, betonové skruže, šachetního konusu, vyrovnávacího prstence vložení těsnění mezi dílce a osazení litinového poklopu.  V max. 40 vtok/výtok do max. DN 400</t>
  </si>
  <si>
    <t>Osazení stojat. obrub.bet. s opěrou,lože z C 12/15</t>
  </si>
  <si>
    <t>Osazení plast. zahradního obrubníku zapuštěného</t>
  </si>
  <si>
    <t>30,8+85,5+87,2+92,35   </t>
  </si>
  <si>
    <t>Položka obsahuje výkop rýhy, osazení obrubníhu, připevnění do podkladu hřeby a přihrnutí zeminy. Dodávka obrubníku se oceňuje ve specifikaci.</t>
  </si>
  <si>
    <t>Obrubník zahradní plastový v=80mm dl. 12 m</t>
  </si>
  <si>
    <t>25   </t>
  </si>
  <si>
    <t>Zahradní obrubník GARDEN DIAMOND JUNIOR 12 m černý Možnost napojování obrubníků do délky pomocí spojek. Obrubník je vyroben ze středně hustého polyetylenu (MDPE). K výrobě je použit regranulát s příměsí, která chrání obrubník proti slunci, UV záření a popraskání přes zimu. Spojovací a kotvící prvky jsou vyrobeny z polypropylenu.  Hmotnost: 3 kg Délka obrubníku: 12 m Barva: černá Typ obrubníku: nezavlažovací</t>
  </si>
  <si>
    <t>Bourání mazanin betonových tl. nad 10 cm, nad 4 m2</t>
  </si>
  <si>
    <t>9,75+4,15   </t>
  </si>
  <si>
    <t>V položce není kalkulována manipulace se sutí, která se oceňuje samostatně položkami souboru 979. V položce nejsou zakalkulovány náklady na bourání podkladního lože pod mazaninou. Položka se používá pro bourání podlah z betonu prostého nebo litého asfaltu. Bourání případné výztuže v mazaninách se oceňuje položkami souboru 965 04 91.. Příplatek za bourání mazanin s výztuží.</t>
  </si>
  <si>
    <t>Přesun hmot, pozemní komunikace, kryt živičný</t>
  </si>
  <si>
    <t>Vedení uzemňovací na povrchu FeZn D 10 mm</t>
  </si>
  <si>
    <t>Vodorovná doprava suti a hmot po suchu do 6000 m</t>
  </si>
  <si>
    <t>Příplatek k přesunu suti za každých dalších 1000 m</t>
  </si>
  <si>
    <t>903,8715*20   </t>
  </si>
  <si>
    <t>373,291*20   </t>
  </si>
  <si>
    <t>Uložení suti na skládku bez zhutnění</t>
  </si>
  <si>
    <t>V položce jsou zakalkulovány i náklady na hrubé urovnání.</t>
  </si>
  <si>
    <t>Poplatek za skládku stavební suti Holasovice</t>
  </si>
  <si>
    <t>MJ</t>
  </si>
  <si>
    <t>soubor</t>
  </si>
  <si>
    <t>m</t>
  </si>
  <si>
    <t>m2</t>
  </si>
  <si>
    <t>kus</t>
  </si>
  <si>
    <t>m3</t>
  </si>
  <si>
    <t>t</t>
  </si>
  <si>
    <t>kg</t>
  </si>
  <si>
    <t>l</t>
  </si>
  <si>
    <t>ks</t>
  </si>
  <si>
    <t>%</t>
  </si>
  <si>
    <t>Množství</t>
  </si>
  <si>
    <t>Potřebné množství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</si>
  <si>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</si>
  <si>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</si>
  <si>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</si>
  <si>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</si>
  <si>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</si>
  <si>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</si>
  <si>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</si>
  <si>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</si>
  <si>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</si>
  <si>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</si>
  <si>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</si>
  <si>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</si>
  <si>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</si>
  <si>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</si>
  <si>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</si>
  <si>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Montáž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</si>
  <si>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</si>
  <si>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</si>
  <si>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</si>
  <si>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</si>
  <si>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</si>
  <si>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</si>
  <si>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</si>
  <si>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</si>
  <si>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</si>
  <si>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</si>
  <si>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</si>
  <si>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</si>
  <si>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</si>
  <si>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</si>
  <si>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</si>
  <si>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</si>
  <si>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</si>
  <si>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</si>
  <si>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</si>
  <si>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</si>
  <si>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</si>
  <si>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</si>
  <si>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</si>
  <si>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</si>
  <si>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</si>
  <si>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</si>
  <si>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</si>
  <si>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</si>
  <si>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00296228/CZ00296228</t>
  </si>
  <si>
    <t>88652548/CZ8507215376</t>
  </si>
  <si>
    <t>216</t>
  </si>
  <si>
    <t>Slepý stavební rozpočet</t>
  </si>
  <si>
    <t>215</t>
  </si>
  <si>
    <t>583312024</t>
  </si>
  <si>
    <t>REVITALIZACE ZELENĚ A ÚPRAVA ZPEVNĚNÝCH PLOCH ZŠ MĚSTO ALBRECHTICE</t>
  </si>
  <si>
    <t>Město Albrechtice</t>
  </si>
  <si>
    <t>Rozměry</t>
  </si>
  <si>
    <t>V položce je obsaženo i uložení na dočasnou skládku v příslušné vzdálenosti, pokud na 1 m2 skládky nepřipadá více jak 2 m3 ornice. V opačném případě se uložení musí dokalkulovat. STANDARDY KONSTRUKCÍ Obsah standardu je popsán následujícími technickými a kvalitativními parametry.  Odstranění travin, rákosu ruderálního porostu, stařiny, zřízení protipožárních pásů a kosení ve vegetačním období s ponecháním na místě Odstraněním travin a rákosu se rozumí ruční posekání travin, rákosu a také všech zemědělských plodin, ruderálního porostu, stařiny apod. kosou. Obsahem standardu je pro odstranění travin ruční posekání trávy a rákosu se shrabání hráběmi a odnosem 50 m a uložením na hromady, pro odstranění ruderálního porostu a odstranění stařiny kosení, naložení shrabků, odvoz do 20 km a složení, pro protipožární pásy srýpnutí organického půdního krytu až na</t>
  </si>
  <si>
    <t>minerální půdu, vykopání a odhrabání organických látek a jejich odstranění na vzdálenost do 2 m, pro odstranění rákosu, plazivého rostlinstva a bodláčí práce při hloubce vody do 300 mm, vybrání a svázání prutů pro průmyslové účely do snopků vázacím drátem a odklizení a uložení až na vzdálenost do 20 m od kraje hladiny v dané době, pro vytrhání bodláčí uložení na hromady mimo pěstované travní plochy a spálení po seschnutí Popis standardu musí vymezit druh traviny, hustotu porostu a kosenou plochu.  Celoplošné vyžínání buřeně v lesních výsadbách Celoplošným vyžínáním buřeně v lesních výsadbách se rozumí odstranění maliní, ostružiní, křovin apod. Obsahem standardu je kosení, shrabání a složení do hromad  Odstranění křovin a stromů s odstraněním nebo ponecháním kořenů, seřezání vrbového proutí, prořezávka porostů.  Odstraněním křovin a stromů s odstraněním nebo</t>
  </si>
  <si>
    <t>ponecháním kořenů, seřezání vrbového proutí, prořezávka porostů a spálení křovin větví a stromů se rozumí odstranění křovin a stromů o průměru kmene do 100 mm, seřezávka vrbového proutí na vegetačních zpevněních, prořezávka porostů, spálení křovin, větví a stromů a odstranění pařezů odfrézováním. Obsahem standardu je: odstranění keřovitého porostu a seřezání vrbového proutí na vegetačních zpevněních (křoviny a stromky o průměru kmenů do 5 cm) ruční pilkou nebo sekerkou nad 5 cm motorovou pilou s odstraněním kořenů a složením do hromad do vzdálenosti 20 m ( průměrný počet stromků nebo keřů na 1 m2: řídký porost 1 ks, středně hustý 3 ks, hustý přes 3 ks), prořezávka porostů, výběr, prořezání a ponechání vytěženého nehroubí na místě, spálení odstraněných křovin, přihrnování křovin, očištění spáleniště, uložení popela a zbytků na hromadu, odstranění pařezů</t>
  </si>
  <si>
    <t>pojezdem traktoru s frézou na pařezy, nutné přemístění a uložení na hromady na vzdálenost do50 m nebo naložení na dopravní prostředek do sklonu terénu 1 : 5.</t>
  </si>
  <si>
    <t>Kamenivo těžené frakce  0/4 Moravskosl. kraj</t>
  </si>
  <si>
    <t>včetně dodávky netkané zahradnické textilie</t>
  </si>
  <si>
    <t xml:space="preserve">frakce 8-16_x000D_
</t>
  </si>
  <si>
    <t>štěrkodrť frakce 0-32 mm</t>
  </si>
  <si>
    <t>frakce 32-64</t>
  </si>
  <si>
    <t>plochy 201-1000 m2</t>
  </si>
  <si>
    <t>světlá výška 100mm</t>
  </si>
  <si>
    <t>včetně dlaždic betonových 30/30/3,3 cm</t>
  </si>
  <si>
    <t>rýha 30 x 40 cm</t>
  </si>
  <si>
    <t>fošny tloušťky 40 mm</t>
  </si>
  <si>
    <t>sklon do 25°</t>
  </si>
  <si>
    <t>dvojnásobný krycí s 1x emailováním</t>
  </si>
  <si>
    <t>včetně obrubníku ABO 100/10/25</t>
  </si>
  <si>
    <t>pneumat. kladivo, tl. mazaniny nad 20 cm</t>
  </si>
  <si>
    <t>bagrem s kladivem</t>
  </si>
  <si>
    <t>včetně drátu FeZn 10 mm</t>
  </si>
  <si>
    <t>02.08.2019</t>
  </si>
  <si>
    <t xml:space="preserve">Ing. Grigorios Akritidis_x000D_
</t>
  </si>
  <si>
    <t> </t>
  </si>
  <si>
    <t>Kamil Beck</t>
  </si>
  <si>
    <t>Cena/MJ</t>
  </si>
  <si>
    <t>(Kč)</t>
  </si>
  <si>
    <t>Cenová</t>
  </si>
  <si>
    <t>soustava</t>
  </si>
  <si>
    <t>RTS I / 2019</t>
  </si>
  <si>
    <t>RTS I / 2018</t>
  </si>
  <si>
    <t>vlastní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</si>
  <si>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</si>
  <si>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</si>
  <si>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</si>
  <si>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</si>
  <si>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</si>
  <si>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</si>
  <si>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</si>
  <si>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</si>
  <si>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</si>
  <si>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100VD_</t>
  </si>
  <si>
    <t>11_</t>
  </si>
  <si>
    <t>12_</t>
  </si>
  <si>
    <t>13_</t>
  </si>
  <si>
    <t>16_</t>
  </si>
  <si>
    <t>17_</t>
  </si>
  <si>
    <t>771_</t>
  </si>
  <si>
    <t>18_</t>
  </si>
  <si>
    <t>27_</t>
  </si>
  <si>
    <t>34_</t>
  </si>
  <si>
    <t>43_</t>
  </si>
  <si>
    <t>56_</t>
  </si>
  <si>
    <t>57_</t>
  </si>
  <si>
    <t>59_</t>
  </si>
  <si>
    <t>63_</t>
  </si>
  <si>
    <t>721_</t>
  </si>
  <si>
    <t>762_</t>
  </si>
  <si>
    <t>764_</t>
  </si>
  <si>
    <t>765_</t>
  </si>
  <si>
    <t>767_</t>
  </si>
  <si>
    <t>783_</t>
  </si>
  <si>
    <t>89_</t>
  </si>
  <si>
    <t>91_</t>
  </si>
  <si>
    <t>96_</t>
  </si>
  <si>
    <t>H22_</t>
  </si>
  <si>
    <t>S_</t>
  </si>
  <si>
    <t>M21_</t>
  </si>
  <si>
    <t>01_1_</t>
  </si>
  <si>
    <t>01_77_</t>
  </si>
  <si>
    <t>01_2_</t>
  </si>
  <si>
    <t>01_3_</t>
  </si>
  <si>
    <t>01_4_</t>
  </si>
  <si>
    <t>01_5_</t>
  </si>
  <si>
    <t>01_6_</t>
  </si>
  <si>
    <t>01_72_</t>
  </si>
  <si>
    <t>01_76_</t>
  </si>
  <si>
    <t>01_78_</t>
  </si>
  <si>
    <t>01_8_</t>
  </si>
  <si>
    <t>01_9_</t>
  </si>
  <si>
    <t>02_1_</t>
  </si>
  <si>
    <t>02_5_</t>
  </si>
  <si>
    <t>02_9_</t>
  </si>
  <si>
    <t>01_</t>
  </si>
  <si>
    <t>02_</t>
  </si>
  <si>
    <t>MAT</t>
  </si>
  <si>
    <t>WORK</t>
  </si>
  <si>
    <t>CELK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</si>
</sst>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9"/>
      <color indexed="60"/>
      <name val="Arial"/>
      <charset val="238"/>
    </font>
    <font>
      <i/>
      <sz val="9"/>
      <color indexed="58"/>
      <name val="Arial"/>
      <charset val="238"/>
    </font>
    <font>
      <i/>
      <sz val="10"/>
      <color indexed="60"/>
      <name val="Arial"/>
      <charset val="238"/>
    </font>
    <font>
      <i/>
      <sz val="10"/>
      <color indexed="58"/>
      <name val="Arial"/>
      <charset val="238"/>
    </font>
    <font>
      <i/>
      <sz val="9"/>
      <color indexed="61"/>
      <name val="Arial"/>
      <charset val="238"/>
    </font>
    <font>
      <i/>
      <sz val="9"/>
      <color indexed="62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  <font>
      <sz val="10"/>
      <color indexed="54"/>
      <name val="Arial"/>
      <charset val="238"/>
    </font>
    <font>
      <sz val="10"/>
      <color indexed="56"/>
      <name val="Arial"/>
      <charset val="238"/>
    </font>
    <font>
      <b/>
      <sz val="10"/>
      <color indexed="54"/>
      <name val="Arial"/>
      <charset val="238"/>
    </font>
    <font>
      <sz val="10"/>
      <color indexed="59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  <fill>
      <patternFill patternType="solid">
        <fgColor indexed="55"/>
        <bgColor indexed="9"/>
      </patternFill>
    </fill>
    <fill>
      <patternFill patternType="solid">
        <fgColor indexed="41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2">
    <xf numFmtId="0" fontId="1" fillId="0" borderId="0" xfId="0" applyFont="1" applyAlignment="1">
      <alignment vertical="center"/>
    </xf>
    <xf numFmtId="49" fontId="1" fillId="0" borderId="5" xfId="0" applyNumberFormat="1" applyFont="1" applyBorder="1" applyAlignment="1">
      <alignment horizontal="left" vertical="center"/>
    </xf>
    <xf numFmtId="49" fontId="3" fillId="0" borderId="6" xfId="0" applyNumberFormat="1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4" fontId="1" fillId="0" borderId="0" xfId="0" applyNumberFormat="1" applyFont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3" fillId="0" borderId="8" xfId="0" applyNumberFormat="1" applyFont="1" applyBorder="1" applyAlignment="1">
      <alignment horizontal="right" vertical="center"/>
    </xf>
    <xf numFmtId="49" fontId="3" fillId="0" borderId="18" xfId="0" applyNumberFormat="1" applyFont="1" applyBorder="1" applyAlignment="1">
      <alignment horizontal="left" vertical="center"/>
    </xf>
    <xf numFmtId="49" fontId="5" fillId="2" borderId="7" xfId="0" applyNumberFormat="1" applyFont="1" applyFill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49" fontId="3" fillId="0" borderId="19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right" vertical="top"/>
    </xf>
    <xf numFmtId="49" fontId="9" fillId="0" borderId="0" xfId="0" applyNumberFormat="1" applyFont="1" applyAlignment="1">
      <alignment horizontal="right" vertical="top"/>
    </xf>
    <xf numFmtId="49" fontId="3" fillId="0" borderId="19" xfId="0" applyNumberFormat="1" applyFont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6" fillId="0" borderId="0" xfId="0" applyNumberFormat="1" applyFont="1" applyAlignment="1">
      <alignment horizontal="right" vertical="center"/>
    </xf>
    <xf numFmtId="49" fontId="5" fillId="2" borderId="0" xfId="0" applyNumberFormat="1" applyFont="1" applyFill="1" applyAlignment="1">
      <alignment horizontal="right" vertical="center"/>
    </xf>
    <xf numFmtId="4" fontId="12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49" fontId="3" fillId="0" borderId="22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49" fontId="15" fillId="3" borderId="25" xfId="0" applyNumberFormat="1" applyFont="1" applyFill="1" applyBorder="1" applyAlignment="1">
      <alignment horizontal="center" vertical="center"/>
    </xf>
    <xf numFmtId="49" fontId="16" fillId="0" borderId="26" xfId="0" applyNumberFormat="1" applyFont="1" applyBorder="1" applyAlignment="1">
      <alignment horizontal="left" vertical="center"/>
    </xf>
    <xf numFmtId="49" fontId="16" fillId="0" borderId="27" xfId="0" applyNumberFormat="1" applyFont="1" applyBorder="1" applyAlignment="1">
      <alignment horizontal="left" vertical="center"/>
    </xf>
    <xf numFmtId="0" fontId="1" fillId="0" borderId="29" xfId="0" applyFont="1" applyBorder="1" applyAlignment="1">
      <alignment vertical="center"/>
    </xf>
    <xf numFmtId="49" fontId="4" fillId="0" borderId="7" xfId="0" applyNumberFormat="1" applyFont="1" applyBorder="1" applyAlignment="1">
      <alignment horizontal="left" vertical="center"/>
    </xf>
    <xf numFmtId="49" fontId="17" fillId="0" borderId="25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4" fontId="17" fillId="0" borderId="25" xfId="0" applyNumberFormat="1" applyFont="1" applyBorder="1" applyAlignment="1">
      <alignment horizontal="right" vertical="center"/>
    </xf>
    <xf numFmtId="49" fontId="17" fillId="0" borderId="25" xfId="0" applyNumberFormat="1" applyFont="1" applyBorder="1" applyAlignment="1">
      <alignment horizontal="right" vertical="center"/>
    </xf>
    <xf numFmtId="4" fontId="17" fillId="0" borderId="35" xfId="0" applyNumberFormat="1" applyFont="1" applyBorder="1" applyAlignment="1">
      <alignment horizontal="right" vertical="center"/>
    </xf>
    <xf numFmtId="0" fontId="1" fillId="0" borderId="36" xfId="0" applyFont="1" applyBorder="1" applyAlignment="1">
      <alignment vertical="center"/>
    </xf>
    <xf numFmtId="0" fontId="1" fillId="0" borderId="14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4" fontId="16" fillId="3" borderId="32" xfId="0" applyNumberFormat="1" applyFont="1" applyFill="1" applyBorder="1" applyAlignment="1">
      <alignment horizontal="right" vertical="center"/>
    </xf>
    <xf numFmtId="49" fontId="3" fillId="0" borderId="38" xfId="0" applyNumberFormat="1" applyFont="1" applyBorder="1" applyAlignment="1">
      <alignment horizontal="left" vertical="center"/>
    </xf>
    <xf numFmtId="49" fontId="1" fillId="0" borderId="39" xfId="0" applyNumberFormat="1" applyFont="1" applyBorder="1" applyAlignment="1">
      <alignment horizontal="left" vertical="center"/>
    </xf>
    <xf numFmtId="49" fontId="19" fillId="4" borderId="7" xfId="0" applyNumberFormat="1" applyFont="1" applyFill="1" applyBorder="1" applyAlignment="1">
      <alignment horizontal="left" vertical="center"/>
    </xf>
    <xf numFmtId="49" fontId="20" fillId="2" borderId="0" xfId="0" applyNumberFormat="1" applyFont="1" applyFill="1" applyAlignment="1">
      <alignment horizontal="left" vertical="center"/>
    </xf>
    <xf numFmtId="49" fontId="19" fillId="4" borderId="0" xfId="0" applyNumberFormat="1" applyFont="1" applyFill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/>
    </xf>
    <xf numFmtId="49" fontId="3" fillId="0" borderId="5" xfId="0" applyNumberFormat="1" applyFont="1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center"/>
    </xf>
    <xf numFmtId="49" fontId="21" fillId="4" borderId="7" xfId="0" applyNumberFormat="1" applyFont="1" applyFill="1" applyBorder="1" applyAlignment="1">
      <alignment horizontal="left" vertical="center"/>
    </xf>
    <xf numFmtId="49" fontId="21" fillId="4" borderId="0" xfId="0" applyNumberFormat="1" applyFont="1" applyFill="1" applyAlignment="1">
      <alignment horizontal="left" vertical="center"/>
    </xf>
    <xf numFmtId="49" fontId="10" fillId="0" borderId="0" xfId="0" applyNumberFormat="1" applyFont="1" applyAlignment="1">
      <alignment horizontal="right" vertical="top"/>
    </xf>
    <xf numFmtId="49" fontId="11" fillId="0" borderId="0" xfId="0" applyNumberFormat="1" applyFont="1" applyAlignment="1">
      <alignment horizontal="right" vertical="top"/>
    </xf>
    <xf numFmtId="49" fontId="3" fillId="0" borderId="5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right" vertical="center"/>
    </xf>
    <xf numFmtId="49" fontId="3" fillId="0" borderId="40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19" fillId="4" borderId="7" xfId="0" applyNumberFormat="1" applyFont="1" applyFill="1" applyBorder="1" applyAlignment="1" applyProtection="1">
      <alignment horizontal="left" vertical="center"/>
      <protection locked="0"/>
    </xf>
    <xf numFmtId="49" fontId="20" fillId="2" borderId="0" xfId="0" applyNumberFormat="1" applyFont="1" applyFill="1" applyAlignment="1" applyProtection="1">
      <alignment horizontal="left" vertical="center"/>
      <protection locked="0"/>
    </xf>
    <xf numFmtId="4" fontId="6" fillId="5" borderId="0" xfId="0" applyNumberFormat="1" applyFont="1" applyFill="1" applyAlignment="1" applyProtection="1">
      <alignment horizontal="right" vertical="center"/>
      <protection locked="0"/>
    </xf>
    <xf numFmtId="4" fontId="7" fillId="5" borderId="0" xfId="0" applyNumberFormat="1" applyFont="1" applyFill="1" applyAlignment="1" applyProtection="1">
      <alignment horizontal="right" vertical="center"/>
      <protection locked="0"/>
    </xf>
    <xf numFmtId="0" fontId="1" fillId="5" borderId="0" xfId="0" applyFont="1" applyFill="1" applyAlignment="1" applyProtection="1">
      <alignment vertical="center"/>
      <protection locked="0"/>
    </xf>
    <xf numFmtId="49" fontId="19" fillId="4" borderId="0" xfId="0" applyNumberFormat="1" applyFont="1" applyFill="1" applyAlignment="1" applyProtection="1">
      <alignment horizontal="left" vertical="center"/>
      <protection locked="0"/>
    </xf>
    <xf numFmtId="4" fontId="6" fillId="5" borderId="1" xfId="0" applyNumberFormat="1" applyFont="1" applyFill="1" applyBorder="1" applyAlignment="1" applyProtection="1">
      <alignment horizontal="right" vertical="center"/>
      <protection locked="0"/>
    </xf>
    <xf numFmtId="49" fontId="3" fillId="0" borderId="41" xfId="0" applyNumberFormat="1" applyFont="1" applyBorder="1" applyAlignment="1">
      <alignment horizontal="center" vertical="center"/>
    </xf>
    <xf numFmtId="49" fontId="21" fillId="4" borderId="7" xfId="0" applyNumberFormat="1" applyFont="1" applyFill="1" applyBorder="1" applyAlignment="1">
      <alignment horizontal="right" vertical="center"/>
    </xf>
    <xf numFmtId="49" fontId="21" fillId="4" borderId="0" xfId="0" applyNumberFormat="1" applyFont="1" applyFill="1" applyAlignment="1">
      <alignment horizontal="right" vertical="center"/>
    </xf>
    <xf numFmtId="49" fontId="6" fillId="0" borderId="1" xfId="0" applyNumberFormat="1" applyFont="1" applyBorder="1" applyAlignment="1">
      <alignment horizontal="right" vertical="center"/>
    </xf>
    <xf numFmtId="49" fontId="1" fillId="0" borderId="0" xfId="0" applyNumberFormat="1" applyFont="1" applyAlignment="1">
      <alignment horizontal="right" vertical="center"/>
    </xf>
    <xf numFmtId="4" fontId="21" fillId="4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right" vertical="center"/>
    </xf>
    <xf numFmtId="4" fontId="21" fillId="4" borderId="0" xfId="0" applyNumberFormat="1" applyFont="1" applyFill="1" applyAlignment="1">
      <alignment horizontal="right" vertic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3" fillId="0" borderId="8" xfId="0" applyNumberFormat="1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49" fontId="1" fillId="0" borderId="10" xfId="0" applyNumberFormat="1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49" fontId="3" fillId="0" borderId="4" xfId="0" applyNumberFormat="1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49" fontId="1" fillId="0" borderId="7" xfId="0" applyNumberFormat="1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/>
    </xf>
    <xf numFmtId="49" fontId="12" fillId="0" borderId="0" xfId="0" applyNumberFormat="1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5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49" fontId="3" fillId="0" borderId="20" xfId="0" applyNumberFormat="1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49" fontId="5" fillId="2" borderId="7" xfId="0" applyNumberFormat="1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49" fontId="17" fillId="0" borderId="17" xfId="0" applyNumberFormat="1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33" xfId="0" applyFont="1" applyBorder="1" applyAlignment="1">
      <alignment horizontal="left" vertical="center"/>
    </xf>
    <xf numFmtId="49" fontId="17" fillId="0" borderId="31" xfId="0" applyNumberFormat="1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7" fillId="0" borderId="34" xfId="0" applyFont="1" applyBorder="1" applyAlignment="1">
      <alignment horizontal="left" vertical="center"/>
    </xf>
    <xf numFmtId="49" fontId="16" fillId="3" borderId="28" xfId="0" applyNumberFormat="1" applyFont="1" applyFill="1" applyBorder="1" applyAlignment="1">
      <alignment horizontal="left" vertical="center"/>
    </xf>
    <xf numFmtId="0" fontId="16" fillId="3" borderId="24" xfId="0" applyFont="1" applyFill="1" applyBorder="1" applyAlignment="1">
      <alignment horizontal="left" vertical="center"/>
    </xf>
    <xf numFmtId="49" fontId="17" fillId="0" borderId="30" xfId="0" applyNumberFormat="1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49" fontId="16" fillId="0" borderId="28" xfId="0" applyNumberFormat="1" applyFont="1" applyBorder="1" applyAlignment="1">
      <alignment horizontal="left" vertical="center"/>
    </xf>
    <xf numFmtId="0" fontId="16" fillId="0" borderId="32" xfId="0" applyFont="1" applyBorder="1" applyAlignment="1">
      <alignment horizontal="left" vertical="center"/>
    </xf>
    <xf numFmtId="49" fontId="17" fillId="0" borderId="28" xfId="0" applyNumberFormat="1" applyFont="1" applyBorder="1" applyAlignment="1">
      <alignment horizontal="left" vertical="center"/>
    </xf>
    <xf numFmtId="0" fontId="17" fillId="0" borderId="32" xfId="0" applyFont="1" applyBorder="1" applyAlignment="1">
      <alignment horizontal="left" vertical="center"/>
    </xf>
    <xf numFmtId="49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49" fontId="18" fillId="0" borderId="28" xfId="0" applyNumberFormat="1" applyFont="1" applyBorder="1" applyAlignment="1">
      <alignment horizontal="left" vertical="center"/>
    </xf>
    <xf numFmtId="0" fontId="18" fillId="0" borderId="3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/>
    </xf>
    <xf numFmtId="49" fontId="1" fillId="0" borderId="14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left" vertical="center"/>
    </xf>
    <xf numFmtId="0" fontId="11" fillId="5" borderId="0" xfId="0" applyFont="1" applyFill="1" applyAlignment="1" applyProtection="1">
      <alignment horizontal="left" vertical="top"/>
      <protection locked="0"/>
    </xf>
    <xf numFmtId="49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10" fillId="5" borderId="0" xfId="0" applyFont="1" applyFill="1" applyAlignment="1" applyProtection="1">
      <alignment horizontal="left" vertical="top"/>
      <protection locked="0"/>
    </xf>
    <xf numFmtId="49" fontId="21" fillId="4" borderId="0" xfId="0" applyNumberFormat="1" applyFont="1" applyFill="1" applyAlignment="1">
      <alignment horizontal="left" vertical="center"/>
    </xf>
    <xf numFmtId="0" fontId="21" fillId="4" borderId="0" xfId="0" applyFont="1" applyFill="1" applyAlignment="1">
      <alignment horizontal="left" vertical="center"/>
    </xf>
    <xf numFmtId="49" fontId="3" fillId="0" borderId="10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49" fontId="21" fillId="4" borderId="7" xfId="0" applyNumberFormat="1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left" vertical="center"/>
    </xf>
    <xf numFmtId="0" fontId="1" fillId="5" borderId="0" xfId="0" applyFont="1" applyFill="1" applyAlignment="1" applyProtection="1">
      <alignment horizontal="left" vertical="center"/>
      <protection locked="0"/>
    </xf>
    <xf numFmtId="0" fontId="1" fillId="5" borderId="14" xfId="0" applyFont="1" applyFill="1" applyBorder="1" applyAlignment="1" applyProtection="1">
      <alignment horizontal="left" vertical="center"/>
      <protection locked="0"/>
    </xf>
    <xf numFmtId="0" fontId="1" fillId="5" borderId="9" xfId="0" applyFont="1" applyFill="1" applyBorder="1" applyAlignment="1" applyProtection="1">
      <alignment horizontal="left" vertical="center"/>
      <protection locked="0"/>
    </xf>
    <xf numFmtId="0" fontId="1" fillId="5" borderId="12" xfId="0" applyFont="1" applyFill="1" applyBorder="1" applyAlignment="1" applyProtection="1">
      <alignment horizontal="left" vertical="center"/>
      <protection locked="0"/>
    </xf>
    <xf numFmtId="49" fontId="1" fillId="0" borderId="8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0</xdr:row>
      <xdr:rowOff>885825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33450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171450</xdr:colOff>
      <xdr:row>0</xdr:row>
      <xdr:rowOff>885825</xdr:rowOff>
    </xdr:to>
    <xdr:pic>
      <xdr:nvPicPr>
        <xdr:cNvPr id="2049" name="Picture 1">
          <a:extLst>
            <a:ext uri="{FF2B5EF4-FFF2-40B4-BE49-F238E27FC236}">
              <a16:creationId xmlns:a16="http://schemas.microsoft.com/office/drawing/2014/main" id="{00000000-0008-0000-01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33450" cy="8858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3073" name="Picture 1">
          <a:extLst>
            <a:ext uri="{FF2B5EF4-FFF2-40B4-BE49-F238E27FC236}">
              <a16:creationId xmlns:a16="http://schemas.microsoft.com/office/drawing/2014/main" id="{00000000-0008-0000-0200-000001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4097" name="Picture 1">
          <a:extLst>
            <a:ext uri="{FF2B5EF4-FFF2-40B4-BE49-F238E27FC236}">
              <a16:creationId xmlns:a16="http://schemas.microsoft.com/office/drawing/2014/main" id="{00000000-0008-0000-0300-0000011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180975</xdr:colOff>
      <xdr:row>0</xdr:row>
      <xdr:rowOff>885825</xdr:rowOff>
    </xdr:to>
    <xdr:pic>
      <xdr:nvPicPr>
        <xdr:cNvPr id="5121" name="Picture 1">
          <a:extLst>
            <a:ext uri="{FF2B5EF4-FFF2-40B4-BE49-F238E27FC236}">
              <a16:creationId xmlns:a16="http://schemas.microsoft.com/office/drawing/2014/main" id="{00000000-0008-0000-0400-0000011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9334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55"/>
  <sheetViews>
    <sheetView workbookViewId="0">
      <pane ySplit="11" topLeftCell="A14" activePane="bottomLeft" state="frozenSplit"/>
      <selection pane="bottomLeft" activeCell="C43" sqref="C43:K43"/>
    </sheetView>
  </sheetViews>
  <sheetFormatPr defaultColWidth="11.5703125" defaultRowHeight="12.75" x14ac:dyDescent="0.2"/>
  <cols>
    <col min="1" max="1" width="6.85546875" customWidth="1"/>
    <col min="2" max="2" width="4.570312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8" width="14.28515625" customWidth="1"/>
    <col min="12" max="12" width="14.28515625" customWidth="1"/>
    <col min="13" max="16" width="12.140625" hidden="1" customWidth="1"/>
  </cols>
  <sheetData>
    <row r="1" spans="1:16" ht="72.95" customHeight="1" x14ac:dyDescent="0.35">
      <c r="A1" s="103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6" x14ac:dyDescent="0.2">
      <c r="A2" s="105" t="s">
        <v>1</v>
      </c>
      <c r="B2" s="106"/>
      <c r="C2" s="106"/>
      <c r="D2" s="107" t="str">
        <f>'Stavební rozpočet'!D2</f>
        <v>REVITALIZACE ZELENĚ A ÚPRAVA ZPEVNĚNÝCH PLOCH ZŠ MĚSTO ALBRECHTICE</v>
      </c>
      <c r="E2" s="109" t="s">
        <v>69</v>
      </c>
      <c r="F2" s="106"/>
      <c r="G2" s="109" t="str">
        <f>'Stavební rozpočet'!G2</f>
        <v xml:space="preserve"> </v>
      </c>
      <c r="H2" s="106"/>
      <c r="I2" s="109" t="s">
        <v>73</v>
      </c>
      <c r="J2" s="109" t="str">
        <f>'Stavební rozpočet'!I2</f>
        <v>Město Albrechtice</v>
      </c>
      <c r="K2" s="106"/>
      <c r="L2" s="110"/>
      <c r="M2" s="10"/>
    </row>
    <row r="3" spans="1:16" ht="25.7" customHeight="1" x14ac:dyDescent="0.2">
      <c r="A3" s="102"/>
      <c r="B3" s="88"/>
      <c r="C3" s="88"/>
      <c r="D3" s="108"/>
      <c r="E3" s="88"/>
      <c r="F3" s="88"/>
      <c r="G3" s="88"/>
      <c r="H3" s="88"/>
      <c r="I3" s="88"/>
      <c r="J3" s="88"/>
      <c r="K3" s="88"/>
      <c r="L3" s="100"/>
      <c r="M3" s="10"/>
    </row>
    <row r="4" spans="1:16" x14ac:dyDescent="0.2">
      <c r="A4" s="97" t="s">
        <v>2</v>
      </c>
      <c r="B4" s="88"/>
      <c r="C4" s="88"/>
      <c r="D4" s="87" t="str">
        <f>'Stavební rozpočet'!D4</f>
        <v xml:space="preserve"> </v>
      </c>
      <c r="E4" s="87" t="s">
        <v>70</v>
      </c>
      <c r="F4" s="88"/>
      <c r="G4" s="87" t="str">
        <f>'Stavební rozpočet'!G4</f>
        <v xml:space="preserve"> </v>
      </c>
      <c r="H4" s="88"/>
      <c r="I4" s="87" t="s">
        <v>74</v>
      </c>
      <c r="J4" s="87" t="str">
        <f>'Stavební rozpočet'!I4</f>
        <v xml:space="preserve">Ing. Grigorios Akritidis_x000D_
</v>
      </c>
      <c r="K4" s="88"/>
      <c r="L4" s="100"/>
      <c r="M4" s="10"/>
    </row>
    <row r="5" spans="1:16" x14ac:dyDescent="0.2">
      <c r="A5" s="102"/>
      <c r="B5" s="88"/>
      <c r="C5" s="88"/>
      <c r="D5" s="88"/>
      <c r="E5" s="88"/>
      <c r="F5" s="88"/>
      <c r="G5" s="88"/>
      <c r="H5" s="88"/>
      <c r="I5" s="88"/>
      <c r="J5" s="88"/>
      <c r="K5" s="88"/>
      <c r="L5" s="100"/>
      <c r="M5" s="10"/>
    </row>
    <row r="6" spans="1:16" x14ac:dyDescent="0.2">
      <c r="A6" s="97" t="s">
        <v>3</v>
      </c>
      <c r="B6" s="88"/>
      <c r="C6" s="88"/>
      <c r="D6" s="87" t="str">
        <f>'Stavební rozpočet'!D6</f>
        <v>Město Albrechtice</v>
      </c>
      <c r="E6" s="87" t="s">
        <v>71</v>
      </c>
      <c r="F6" s="88"/>
      <c r="G6" s="87" t="str">
        <f>'Stavební rozpočet'!G6</f>
        <v xml:space="preserve"> </v>
      </c>
      <c r="H6" s="88"/>
      <c r="I6" s="87" t="s">
        <v>75</v>
      </c>
      <c r="J6" s="87" t="str">
        <f>'Stavební rozpočet'!I6</f>
        <v> </v>
      </c>
      <c r="K6" s="88"/>
      <c r="L6" s="100"/>
      <c r="M6" s="10"/>
    </row>
    <row r="7" spans="1:16" x14ac:dyDescent="0.2">
      <c r="A7" s="102"/>
      <c r="B7" s="88"/>
      <c r="C7" s="88"/>
      <c r="D7" s="88"/>
      <c r="E7" s="88"/>
      <c r="F7" s="88"/>
      <c r="G7" s="88"/>
      <c r="H7" s="88"/>
      <c r="I7" s="88"/>
      <c r="J7" s="88"/>
      <c r="K7" s="88"/>
      <c r="L7" s="100"/>
      <c r="M7" s="10"/>
    </row>
    <row r="8" spans="1:16" x14ac:dyDescent="0.2">
      <c r="A8" s="97" t="s">
        <v>4</v>
      </c>
      <c r="B8" s="88"/>
      <c r="C8" s="88"/>
      <c r="D8" s="87" t="str">
        <f>'Stavební rozpočet'!D8</f>
        <v xml:space="preserve"> </v>
      </c>
      <c r="E8" s="87" t="s">
        <v>72</v>
      </c>
      <c r="F8" s="88"/>
      <c r="G8" s="87" t="str">
        <f>'Stavební rozpočet'!G8</f>
        <v>02.08.2019</v>
      </c>
      <c r="H8" s="88"/>
      <c r="I8" s="87" t="s">
        <v>76</v>
      </c>
      <c r="J8" s="87" t="str">
        <f>'Stavební rozpočet'!I8</f>
        <v>Kamil Beck</v>
      </c>
      <c r="K8" s="88"/>
      <c r="L8" s="100"/>
      <c r="M8" s="10"/>
    </row>
    <row r="9" spans="1:16" x14ac:dyDescent="0.2">
      <c r="A9" s="98"/>
      <c r="B9" s="99"/>
      <c r="C9" s="99"/>
      <c r="D9" s="99"/>
      <c r="E9" s="99"/>
      <c r="F9" s="99"/>
      <c r="G9" s="99"/>
      <c r="H9" s="99"/>
      <c r="I9" s="99"/>
      <c r="J9" s="99"/>
      <c r="K9" s="99"/>
      <c r="L9" s="101"/>
      <c r="M9" s="10"/>
    </row>
    <row r="10" spans="1:16" x14ac:dyDescent="0.2">
      <c r="A10" s="1" t="s">
        <v>5</v>
      </c>
      <c r="B10" s="1" t="s">
        <v>5</v>
      </c>
      <c r="C10" s="90" t="s">
        <v>5</v>
      </c>
      <c r="D10" s="91"/>
      <c r="E10" s="91"/>
      <c r="F10" s="91"/>
      <c r="G10" s="91"/>
      <c r="H10" s="91"/>
      <c r="I10" s="91"/>
      <c r="J10" s="91"/>
      <c r="K10" s="92"/>
      <c r="L10" s="8" t="s">
        <v>78</v>
      </c>
      <c r="M10" s="11"/>
    </row>
    <row r="11" spans="1:16" x14ac:dyDescent="0.2">
      <c r="A11" s="2" t="s">
        <v>6</v>
      </c>
      <c r="B11" s="2" t="s">
        <v>11</v>
      </c>
      <c r="C11" s="93" t="s">
        <v>39</v>
      </c>
      <c r="D11" s="94"/>
      <c r="E11" s="94"/>
      <c r="F11" s="94"/>
      <c r="G11" s="94"/>
      <c r="H11" s="94"/>
      <c r="I11" s="94"/>
      <c r="J11" s="94"/>
      <c r="K11" s="95"/>
      <c r="L11" s="9" t="s">
        <v>79</v>
      </c>
      <c r="M11" s="11"/>
    </row>
    <row r="12" spans="1:16" x14ac:dyDescent="0.2">
      <c r="A12" s="3" t="s">
        <v>7</v>
      </c>
      <c r="B12" s="3"/>
      <c r="C12" s="96" t="s">
        <v>40</v>
      </c>
      <c r="D12" s="91"/>
      <c r="E12" s="91"/>
      <c r="F12" s="91"/>
      <c r="G12" s="91"/>
      <c r="H12" s="91"/>
      <c r="I12" s="91"/>
      <c r="J12" s="91"/>
      <c r="K12" s="91"/>
      <c r="L12" s="13">
        <f>'Stavební rozpočet'!L12</f>
        <v>0</v>
      </c>
      <c r="M12" s="12" t="s">
        <v>80</v>
      </c>
      <c r="N12" s="12">
        <f t="shared" ref="N12:N52" si="0">IF(M12="F",0,L12)</f>
        <v>0</v>
      </c>
      <c r="O12" s="4" t="s">
        <v>7</v>
      </c>
      <c r="P12" s="12">
        <f t="shared" ref="P12:P52" si="1">IF(M12="T",0,L12)</f>
        <v>0</v>
      </c>
    </row>
    <row r="13" spans="1:16" x14ac:dyDescent="0.2">
      <c r="A13" s="4" t="s">
        <v>7</v>
      </c>
      <c r="B13" s="4" t="s">
        <v>12</v>
      </c>
      <c r="C13" s="89" t="s">
        <v>41</v>
      </c>
      <c r="D13" s="88"/>
      <c r="E13" s="88"/>
      <c r="F13" s="88"/>
      <c r="G13" s="88"/>
      <c r="H13" s="88"/>
      <c r="I13" s="88"/>
      <c r="J13" s="88"/>
      <c r="K13" s="88"/>
      <c r="L13" s="12">
        <f>'Stavební rozpočet'!L13</f>
        <v>0</v>
      </c>
      <c r="M13" s="12" t="s">
        <v>81</v>
      </c>
      <c r="N13" s="12">
        <f t="shared" si="0"/>
        <v>0</v>
      </c>
      <c r="O13" s="4" t="s">
        <v>7</v>
      </c>
      <c r="P13" s="12">
        <f t="shared" si="1"/>
        <v>0</v>
      </c>
    </row>
    <row r="14" spans="1:16" x14ac:dyDescent="0.2">
      <c r="A14" s="4" t="s">
        <v>7</v>
      </c>
      <c r="B14" s="4" t="s">
        <v>13</v>
      </c>
      <c r="C14" s="89" t="s">
        <v>42</v>
      </c>
      <c r="D14" s="88"/>
      <c r="E14" s="88"/>
      <c r="F14" s="88"/>
      <c r="G14" s="88"/>
      <c r="H14" s="88"/>
      <c r="I14" s="88"/>
      <c r="J14" s="88"/>
      <c r="K14" s="88"/>
      <c r="L14" s="12">
        <f>'Stavební rozpočet'!L28</f>
        <v>0</v>
      </c>
      <c r="M14" s="12" t="s">
        <v>81</v>
      </c>
      <c r="N14" s="12">
        <f t="shared" si="0"/>
        <v>0</v>
      </c>
      <c r="O14" s="4" t="s">
        <v>7</v>
      </c>
      <c r="P14" s="12">
        <f t="shared" si="1"/>
        <v>0</v>
      </c>
    </row>
    <row r="15" spans="1:16" x14ac:dyDescent="0.2">
      <c r="A15" s="4" t="s">
        <v>7</v>
      </c>
      <c r="B15" s="4" t="s">
        <v>14</v>
      </c>
      <c r="C15" s="89" t="s">
        <v>43</v>
      </c>
      <c r="D15" s="88"/>
      <c r="E15" s="88"/>
      <c r="F15" s="88"/>
      <c r="G15" s="88"/>
      <c r="H15" s="88"/>
      <c r="I15" s="88"/>
      <c r="J15" s="88"/>
      <c r="K15" s="88"/>
      <c r="L15" s="12">
        <f>'Stavební rozpočet'!L37</f>
        <v>0</v>
      </c>
      <c r="M15" s="12" t="s">
        <v>81</v>
      </c>
      <c r="N15" s="12">
        <f t="shared" si="0"/>
        <v>0</v>
      </c>
      <c r="O15" s="4" t="s">
        <v>7</v>
      </c>
      <c r="P15" s="12">
        <f t="shared" si="1"/>
        <v>0</v>
      </c>
    </row>
    <row r="16" spans="1:16" x14ac:dyDescent="0.2">
      <c r="A16" s="4" t="s">
        <v>7</v>
      </c>
      <c r="B16" s="4" t="s">
        <v>15</v>
      </c>
      <c r="C16" s="89" t="s">
        <v>44</v>
      </c>
      <c r="D16" s="88"/>
      <c r="E16" s="88"/>
      <c r="F16" s="88"/>
      <c r="G16" s="88"/>
      <c r="H16" s="88"/>
      <c r="I16" s="88"/>
      <c r="J16" s="88"/>
      <c r="K16" s="88"/>
      <c r="L16" s="12">
        <f>'Stavební rozpočet'!L46</f>
        <v>0</v>
      </c>
      <c r="M16" s="12" t="s">
        <v>81</v>
      </c>
      <c r="N16" s="12">
        <f t="shared" si="0"/>
        <v>0</v>
      </c>
      <c r="O16" s="4" t="s">
        <v>7</v>
      </c>
      <c r="P16" s="12">
        <f t="shared" si="1"/>
        <v>0</v>
      </c>
    </row>
    <row r="17" spans="1:16" x14ac:dyDescent="0.2">
      <c r="A17" s="4" t="s">
        <v>7</v>
      </c>
      <c r="B17" s="4" t="s">
        <v>16</v>
      </c>
      <c r="C17" s="89" t="s">
        <v>45</v>
      </c>
      <c r="D17" s="88"/>
      <c r="E17" s="88"/>
      <c r="F17" s="88"/>
      <c r="G17" s="88"/>
      <c r="H17" s="88"/>
      <c r="I17" s="88"/>
      <c r="J17" s="88"/>
      <c r="K17" s="88"/>
      <c r="L17" s="12">
        <f>'Stavební rozpočet'!L51</f>
        <v>0</v>
      </c>
      <c r="M17" s="12" t="s">
        <v>81</v>
      </c>
      <c r="N17" s="12">
        <f t="shared" si="0"/>
        <v>0</v>
      </c>
      <c r="O17" s="4" t="s">
        <v>7</v>
      </c>
      <c r="P17" s="12">
        <f t="shared" si="1"/>
        <v>0</v>
      </c>
    </row>
    <row r="18" spans="1:16" x14ac:dyDescent="0.2">
      <c r="A18" s="4" t="s">
        <v>7</v>
      </c>
      <c r="B18" s="4" t="s">
        <v>17</v>
      </c>
      <c r="C18" s="89" t="s">
        <v>46</v>
      </c>
      <c r="D18" s="88"/>
      <c r="E18" s="88"/>
      <c r="F18" s="88"/>
      <c r="G18" s="88"/>
      <c r="H18" s="88"/>
      <c r="I18" s="88"/>
      <c r="J18" s="88"/>
      <c r="K18" s="88"/>
      <c r="L18" s="12">
        <f>'Stavební rozpočet'!L58</f>
        <v>0</v>
      </c>
      <c r="M18" s="12" t="s">
        <v>81</v>
      </c>
      <c r="N18" s="12">
        <f t="shared" si="0"/>
        <v>0</v>
      </c>
      <c r="O18" s="4" t="s">
        <v>7</v>
      </c>
      <c r="P18" s="12">
        <f t="shared" si="1"/>
        <v>0</v>
      </c>
    </row>
    <row r="19" spans="1:16" x14ac:dyDescent="0.2">
      <c r="A19" s="4" t="s">
        <v>7</v>
      </c>
      <c r="B19" s="4" t="s">
        <v>18</v>
      </c>
      <c r="C19" s="89" t="s">
        <v>47</v>
      </c>
      <c r="D19" s="88"/>
      <c r="E19" s="88"/>
      <c r="F19" s="88"/>
      <c r="G19" s="88"/>
      <c r="H19" s="88"/>
      <c r="I19" s="88"/>
      <c r="J19" s="88"/>
      <c r="K19" s="88"/>
      <c r="L19" s="12">
        <f>'Stavební rozpočet'!L64</f>
        <v>0</v>
      </c>
      <c r="M19" s="12" t="s">
        <v>81</v>
      </c>
      <c r="N19" s="12">
        <f t="shared" si="0"/>
        <v>0</v>
      </c>
      <c r="O19" s="4" t="s">
        <v>7</v>
      </c>
      <c r="P19" s="12">
        <f t="shared" si="1"/>
        <v>0</v>
      </c>
    </row>
    <row r="20" spans="1:16" x14ac:dyDescent="0.2">
      <c r="A20" s="4" t="s">
        <v>7</v>
      </c>
      <c r="B20" s="4" t="s">
        <v>19</v>
      </c>
      <c r="C20" s="89" t="s">
        <v>48</v>
      </c>
      <c r="D20" s="88"/>
      <c r="E20" s="88"/>
      <c r="F20" s="88"/>
      <c r="G20" s="88"/>
      <c r="H20" s="88"/>
      <c r="I20" s="88"/>
      <c r="J20" s="88"/>
      <c r="K20" s="88"/>
      <c r="L20" s="12">
        <f>'Stavební rozpočet'!L67</f>
        <v>0</v>
      </c>
      <c r="M20" s="12" t="s">
        <v>81</v>
      </c>
      <c r="N20" s="12">
        <f t="shared" si="0"/>
        <v>0</v>
      </c>
      <c r="O20" s="4" t="s">
        <v>7</v>
      </c>
      <c r="P20" s="12">
        <f t="shared" si="1"/>
        <v>0</v>
      </c>
    </row>
    <row r="21" spans="1:16" x14ac:dyDescent="0.2">
      <c r="A21" s="4" t="s">
        <v>7</v>
      </c>
      <c r="B21" s="4" t="s">
        <v>20</v>
      </c>
      <c r="C21" s="89" t="s">
        <v>49</v>
      </c>
      <c r="D21" s="88"/>
      <c r="E21" s="88"/>
      <c r="F21" s="88"/>
      <c r="G21" s="88"/>
      <c r="H21" s="88"/>
      <c r="I21" s="88"/>
      <c r="J21" s="88"/>
      <c r="K21" s="88"/>
      <c r="L21" s="12">
        <f>'Stavební rozpočet'!L136</f>
        <v>0</v>
      </c>
      <c r="M21" s="12" t="s">
        <v>81</v>
      </c>
      <c r="N21" s="12">
        <f t="shared" si="0"/>
        <v>0</v>
      </c>
      <c r="O21" s="4" t="s">
        <v>7</v>
      </c>
      <c r="P21" s="12">
        <f t="shared" si="1"/>
        <v>0</v>
      </c>
    </row>
    <row r="22" spans="1:16" x14ac:dyDescent="0.2">
      <c r="A22" s="4" t="s">
        <v>7</v>
      </c>
      <c r="B22" s="4" t="s">
        <v>21</v>
      </c>
      <c r="C22" s="89" t="s">
        <v>50</v>
      </c>
      <c r="D22" s="88"/>
      <c r="E22" s="88"/>
      <c r="F22" s="88"/>
      <c r="G22" s="88"/>
      <c r="H22" s="88"/>
      <c r="I22" s="88"/>
      <c r="J22" s="88"/>
      <c r="K22" s="88"/>
      <c r="L22" s="12">
        <f>'Stavební rozpočet'!L143</f>
        <v>0</v>
      </c>
      <c r="M22" s="12" t="s">
        <v>81</v>
      </c>
      <c r="N22" s="12">
        <f t="shared" si="0"/>
        <v>0</v>
      </c>
      <c r="O22" s="4" t="s">
        <v>7</v>
      </c>
      <c r="P22" s="12">
        <f t="shared" si="1"/>
        <v>0</v>
      </c>
    </row>
    <row r="23" spans="1:16" x14ac:dyDescent="0.2">
      <c r="A23" s="4" t="s">
        <v>7</v>
      </c>
      <c r="B23" s="4" t="s">
        <v>22</v>
      </c>
      <c r="C23" s="89" t="s">
        <v>51</v>
      </c>
      <c r="D23" s="88"/>
      <c r="E23" s="88"/>
      <c r="F23" s="88"/>
      <c r="G23" s="88"/>
      <c r="H23" s="88"/>
      <c r="I23" s="88"/>
      <c r="J23" s="88"/>
      <c r="K23" s="88"/>
      <c r="L23" s="12">
        <f>'Stavební rozpočet'!L145</f>
        <v>0</v>
      </c>
      <c r="M23" s="12" t="s">
        <v>81</v>
      </c>
      <c r="N23" s="12">
        <f t="shared" si="0"/>
        <v>0</v>
      </c>
      <c r="O23" s="4" t="s">
        <v>7</v>
      </c>
      <c r="P23" s="12">
        <f t="shared" si="1"/>
        <v>0</v>
      </c>
    </row>
    <row r="24" spans="1:16" x14ac:dyDescent="0.2">
      <c r="A24" s="4" t="s">
        <v>7</v>
      </c>
      <c r="B24" s="4" t="s">
        <v>23</v>
      </c>
      <c r="C24" s="89" t="s">
        <v>52</v>
      </c>
      <c r="D24" s="88"/>
      <c r="E24" s="88"/>
      <c r="F24" s="88"/>
      <c r="G24" s="88"/>
      <c r="H24" s="88"/>
      <c r="I24" s="88"/>
      <c r="J24" s="88"/>
      <c r="K24" s="88"/>
      <c r="L24" s="12">
        <f>'Stavební rozpočet'!L147</f>
        <v>0</v>
      </c>
      <c r="M24" s="12" t="s">
        <v>81</v>
      </c>
      <c r="N24" s="12">
        <f t="shared" si="0"/>
        <v>0</v>
      </c>
      <c r="O24" s="4" t="s">
        <v>7</v>
      </c>
      <c r="P24" s="12">
        <f t="shared" si="1"/>
        <v>0</v>
      </c>
    </row>
    <row r="25" spans="1:16" x14ac:dyDescent="0.2">
      <c r="A25" s="4" t="s">
        <v>7</v>
      </c>
      <c r="B25" s="4" t="s">
        <v>24</v>
      </c>
      <c r="C25" s="89" t="s">
        <v>53</v>
      </c>
      <c r="D25" s="88"/>
      <c r="E25" s="88"/>
      <c r="F25" s="88"/>
      <c r="G25" s="88"/>
      <c r="H25" s="88"/>
      <c r="I25" s="88"/>
      <c r="J25" s="88"/>
      <c r="K25" s="88"/>
      <c r="L25" s="12">
        <f>'Stavební rozpočet'!L158</f>
        <v>0</v>
      </c>
      <c r="M25" s="12" t="s">
        <v>81</v>
      </c>
      <c r="N25" s="12">
        <f t="shared" si="0"/>
        <v>0</v>
      </c>
      <c r="O25" s="4" t="s">
        <v>7</v>
      </c>
      <c r="P25" s="12">
        <f t="shared" si="1"/>
        <v>0</v>
      </c>
    </row>
    <row r="26" spans="1:16" x14ac:dyDescent="0.2">
      <c r="A26" s="4" t="s">
        <v>7</v>
      </c>
      <c r="B26" s="4" t="s">
        <v>25</v>
      </c>
      <c r="C26" s="89" t="s">
        <v>54</v>
      </c>
      <c r="D26" s="88"/>
      <c r="E26" s="88"/>
      <c r="F26" s="88"/>
      <c r="G26" s="88"/>
      <c r="H26" s="88"/>
      <c r="I26" s="88"/>
      <c r="J26" s="88"/>
      <c r="K26" s="88"/>
      <c r="L26" s="12">
        <f>'Stavební rozpočet'!L165</f>
        <v>0</v>
      </c>
      <c r="M26" s="12" t="s">
        <v>81</v>
      </c>
      <c r="N26" s="12">
        <f t="shared" si="0"/>
        <v>0</v>
      </c>
      <c r="O26" s="4" t="s">
        <v>7</v>
      </c>
      <c r="P26" s="12">
        <f t="shared" si="1"/>
        <v>0</v>
      </c>
    </row>
    <row r="27" spans="1:16" x14ac:dyDescent="0.2">
      <c r="A27" s="4" t="s">
        <v>7</v>
      </c>
      <c r="B27" s="4" t="s">
        <v>26</v>
      </c>
      <c r="C27" s="89" t="s">
        <v>55</v>
      </c>
      <c r="D27" s="88"/>
      <c r="E27" s="88"/>
      <c r="F27" s="88"/>
      <c r="G27" s="88"/>
      <c r="H27" s="88"/>
      <c r="I27" s="88"/>
      <c r="J27" s="88"/>
      <c r="K27" s="88"/>
      <c r="L27" s="12">
        <f>'Stavební rozpočet'!L180</f>
        <v>0</v>
      </c>
      <c r="M27" s="12" t="s">
        <v>81</v>
      </c>
      <c r="N27" s="12">
        <f t="shared" si="0"/>
        <v>0</v>
      </c>
      <c r="O27" s="4" t="s">
        <v>7</v>
      </c>
      <c r="P27" s="12">
        <f t="shared" si="1"/>
        <v>0</v>
      </c>
    </row>
    <row r="28" spans="1:16" x14ac:dyDescent="0.2">
      <c r="A28" s="4" t="s">
        <v>7</v>
      </c>
      <c r="B28" s="4" t="s">
        <v>27</v>
      </c>
      <c r="C28" s="89" t="s">
        <v>56</v>
      </c>
      <c r="D28" s="88"/>
      <c r="E28" s="88"/>
      <c r="F28" s="88"/>
      <c r="G28" s="88"/>
      <c r="H28" s="88"/>
      <c r="I28" s="88"/>
      <c r="J28" s="88"/>
      <c r="K28" s="88"/>
      <c r="L28" s="12">
        <f>'Stavební rozpočet'!L183</f>
        <v>0</v>
      </c>
      <c r="M28" s="12" t="s">
        <v>81</v>
      </c>
      <c r="N28" s="12">
        <f t="shared" si="0"/>
        <v>0</v>
      </c>
      <c r="O28" s="4" t="s">
        <v>7</v>
      </c>
      <c r="P28" s="12">
        <f t="shared" si="1"/>
        <v>0</v>
      </c>
    </row>
    <row r="29" spans="1:16" x14ac:dyDescent="0.2">
      <c r="A29" s="4" t="s">
        <v>7</v>
      </c>
      <c r="B29" s="4" t="s">
        <v>28</v>
      </c>
      <c r="C29" s="89" t="s">
        <v>57</v>
      </c>
      <c r="D29" s="88"/>
      <c r="E29" s="88"/>
      <c r="F29" s="88"/>
      <c r="G29" s="88"/>
      <c r="H29" s="88"/>
      <c r="I29" s="88"/>
      <c r="J29" s="88"/>
      <c r="K29" s="88"/>
      <c r="L29" s="12">
        <f>'Stavební rozpočet'!L190</f>
        <v>0</v>
      </c>
      <c r="M29" s="12" t="s">
        <v>81</v>
      </c>
      <c r="N29" s="12">
        <f t="shared" si="0"/>
        <v>0</v>
      </c>
      <c r="O29" s="4" t="s">
        <v>7</v>
      </c>
      <c r="P29" s="12">
        <f t="shared" si="1"/>
        <v>0</v>
      </c>
    </row>
    <row r="30" spans="1:16" x14ac:dyDescent="0.2">
      <c r="A30" s="4" t="s">
        <v>7</v>
      </c>
      <c r="B30" s="4" t="s">
        <v>29</v>
      </c>
      <c r="C30" s="89" t="s">
        <v>58</v>
      </c>
      <c r="D30" s="88"/>
      <c r="E30" s="88"/>
      <c r="F30" s="88"/>
      <c r="G30" s="88"/>
      <c r="H30" s="88"/>
      <c r="I30" s="88"/>
      <c r="J30" s="88"/>
      <c r="K30" s="88"/>
      <c r="L30" s="12">
        <f>'Stavební rozpočet'!L207</f>
        <v>0</v>
      </c>
      <c r="M30" s="12" t="s">
        <v>81</v>
      </c>
      <c r="N30" s="12">
        <f t="shared" si="0"/>
        <v>0</v>
      </c>
      <c r="O30" s="4" t="s">
        <v>7</v>
      </c>
      <c r="P30" s="12">
        <f t="shared" si="1"/>
        <v>0</v>
      </c>
    </row>
    <row r="31" spans="1:16" x14ac:dyDescent="0.2">
      <c r="A31" s="4" t="s">
        <v>7</v>
      </c>
      <c r="B31" s="4" t="s">
        <v>30</v>
      </c>
      <c r="C31" s="89" t="s">
        <v>59</v>
      </c>
      <c r="D31" s="88"/>
      <c r="E31" s="88"/>
      <c r="F31" s="88"/>
      <c r="G31" s="88"/>
      <c r="H31" s="88"/>
      <c r="I31" s="88"/>
      <c r="J31" s="88"/>
      <c r="K31" s="88"/>
      <c r="L31" s="12">
        <f>'Stavební rozpočet'!L219</f>
        <v>0</v>
      </c>
      <c r="M31" s="12" t="s">
        <v>81</v>
      </c>
      <c r="N31" s="12">
        <f t="shared" si="0"/>
        <v>0</v>
      </c>
      <c r="O31" s="4" t="s">
        <v>7</v>
      </c>
      <c r="P31" s="12">
        <f t="shared" si="1"/>
        <v>0</v>
      </c>
    </row>
    <row r="32" spans="1:16" x14ac:dyDescent="0.2">
      <c r="A32" s="4" t="s">
        <v>7</v>
      </c>
      <c r="B32" s="4" t="s">
        <v>31</v>
      </c>
      <c r="C32" s="89" t="s">
        <v>60</v>
      </c>
      <c r="D32" s="88"/>
      <c r="E32" s="88"/>
      <c r="F32" s="88"/>
      <c r="G32" s="88"/>
      <c r="H32" s="88"/>
      <c r="I32" s="88"/>
      <c r="J32" s="88"/>
      <c r="K32" s="88"/>
      <c r="L32" s="12">
        <f>'Stavební rozpočet'!L229</f>
        <v>0</v>
      </c>
      <c r="M32" s="12" t="s">
        <v>81</v>
      </c>
      <c r="N32" s="12">
        <f t="shared" si="0"/>
        <v>0</v>
      </c>
      <c r="O32" s="4" t="s">
        <v>7</v>
      </c>
      <c r="P32" s="12">
        <f t="shared" si="1"/>
        <v>0</v>
      </c>
    </row>
    <row r="33" spans="1:16" x14ac:dyDescent="0.2">
      <c r="A33" s="4" t="s">
        <v>7</v>
      </c>
      <c r="B33" s="4" t="s">
        <v>32</v>
      </c>
      <c r="C33" s="89" t="s">
        <v>61</v>
      </c>
      <c r="D33" s="88"/>
      <c r="E33" s="88"/>
      <c r="F33" s="88"/>
      <c r="G33" s="88"/>
      <c r="H33" s="88"/>
      <c r="I33" s="88"/>
      <c r="J33" s="88"/>
      <c r="K33" s="88"/>
      <c r="L33" s="12">
        <f>'Stavební rozpočet'!L253</f>
        <v>0</v>
      </c>
      <c r="M33" s="12" t="s">
        <v>81</v>
      </c>
      <c r="N33" s="12">
        <f t="shared" si="0"/>
        <v>0</v>
      </c>
      <c r="O33" s="4" t="s">
        <v>7</v>
      </c>
      <c r="P33" s="12">
        <f t="shared" si="1"/>
        <v>0</v>
      </c>
    </row>
    <row r="34" spans="1:16" x14ac:dyDescent="0.2">
      <c r="A34" s="4" t="s">
        <v>7</v>
      </c>
      <c r="B34" s="4" t="s">
        <v>33</v>
      </c>
      <c r="C34" s="89" t="s">
        <v>62</v>
      </c>
      <c r="D34" s="88"/>
      <c r="E34" s="88"/>
      <c r="F34" s="88"/>
      <c r="G34" s="88"/>
      <c r="H34" s="88"/>
      <c r="I34" s="88"/>
      <c r="J34" s="88"/>
      <c r="K34" s="88"/>
      <c r="L34" s="12">
        <f>'Stavební rozpočet'!L258</f>
        <v>0</v>
      </c>
      <c r="M34" s="12" t="s">
        <v>81</v>
      </c>
      <c r="N34" s="12">
        <f t="shared" si="0"/>
        <v>0</v>
      </c>
      <c r="O34" s="4" t="s">
        <v>7</v>
      </c>
      <c r="P34" s="12">
        <f t="shared" si="1"/>
        <v>0</v>
      </c>
    </row>
    <row r="35" spans="1:16" x14ac:dyDescent="0.2">
      <c r="A35" s="4" t="s">
        <v>7</v>
      </c>
      <c r="B35" s="4" t="s">
        <v>34</v>
      </c>
      <c r="C35" s="89" t="s">
        <v>63</v>
      </c>
      <c r="D35" s="88"/>
      <c r="E35" s="88"/>
      <c r="F35" s="88"/>
      <c r="G35" s="88"/>
      <c r="H35" s="88"/>
      <c r="I35" s="88"/>
      <c r="J35" s="88"/>
      <c r="K35" s="88"/>
      <c r="L35" s="12">
        <f>'Stavební rozpočet'!L263</f>
        <v>0</v>
      </c>
      <c r="M35" s="12" t="s">
        <v>81</v>
      </c>
      <c r="N35" s="12">
        <f t="shared" si="0"/>
        <v>0</v>
      </c>
      <c r="O35" s="4" t="s">
        <v>7</v>
      </c>
      <c r="P35" s="12">
        <f t="shared" si="1"/>
        <v>0</v>
      </c>
    </row>
    <row r="36" spans="1:16" x14ac:dyDescent="0.2">
      <c r="A36" s="4" t="s">
        <v>7</v>
      </c>
      <c r="B36" s="4" t="s">
        <v>35</v>
      </c>
      <c r="C36" s="89" t="s">
        <v>64</v>
      </c>
      <c r="D36" s="88"/>
      <c r="E36" s="88"/>
      <c r="F36" s="88"/>
      <c r="G36" s="88"/>
      <c r="H36" s="88"/>
      <c r="I36" s="88"/>
      <c r="J36" s="88"/>
      <c r="K36" s="88"/>
      <c r="L36" s="12">
        <f>'Stavební rozpočet'!L270</f>
        <v>0</v>
      </c>
      <c r="M36" s="12" t="s">
        <v>81</v>
      </c>
      <c r="N36" s="12">
        <f t="shared" si="0"/>
        <v>0</v>
      </c>
      <c r="O36" s="4" t="s">
        <v>7</v>
      </c>
      <c r="P36" s="12">
        <f t="shared" si="1"/>
        <v>0</v>
      </c>
    </row>
    <row r="37" spans="1:16" x14ac:dyDescent="0.2">
      <c r="A37" s="4" t="s">
        <v>7</v>
      </c>
      <c r="B37" s="4" t="s">
        <v>36</v>
      </c>
      <c r="C37" s="89" t="s">
        <v>65</v>
      </c>
      <c r="D37" s="88"/>
      <c r="E37" s="88"/>
      <c r="F37" s="88"/>
      <c r="G37" s="88"/>
      <c r="H37" s="88"/>
      <c r="I37" s="88"/>
      <c r="J37" s="88"/>
      <c r="K37" s="88"/>
      <c r="L37" s="12">
        <f>'Stavební rozpočet'!L274</f>
        <v>0</v>
      </c>
      <c r="M37" s="12" t="s">
        <v>81</v>
      </c>
      <c r="N37" s="12">
        <f t="shared" si="0"/>
        <v>0</v>
      </c>
      <c r="O37" s="4" t="s">
        <v>7</v>
      </c>
      <c r="P37" s="12">
        <f t="shared" si="1"/>
        <v>0</v>
      </c>
    </row>
    <row r="38" spans="1:16" x14ac:dyDescent="0.2">
      <c r="A38" s="4" t="s">
        <v>7</v>
      </c>
      <c r="B38" s="4" t="s">
        <v>37</v>
      </c>
      <c r="C38" s="89" t="s">
        <v>66</v>
      </c>
      <c r="D38" s="88"/>
      <c r="E38" s="88"/>
      <c r="F38" s="88"/>
      <c r="G38" s="88"/>
      <c r="H38" s="88"/>
      <c r="I38" s="88"/>
      <c r="J38" s="88"/>
      <c r="K38" s="88"/>
      <c r="L38" s="12">
        <f>'Stavební rozpočet'!L276</f>
        <v>0</v>
      </c>
      <c r="M38" s="12" t="s">
        <v>81</v>
      </c>
      <c r="N38" s="12">
        <f t="shared" si="0"/>
        <v>0</v>
      </c>
      <c r="O38" s="4" t="s">
        <v>7</v>
      </c>
      <c r="P38" s="12">
        <f t="shared" si="1"/>
        <v>0</v>
      </c>
    </row>
    <row r="39" spans="1:16" x14ac:dyDescent="0.2">
      <c r="A39" s="4" t="s">
        <v>8</v>
      </c>
      <c r="B39" s="4"/>
      <c r="C39" s="89" t="s">
        <v>67</v>
      </c>
      <c r="D39" s="88"/>
      <c r="E39" s="88"/>
      <c r="F39" s="88"/>
      <c r="G39" s="88"/>
      <c r="H39" s="88"/>
      <c r="I39" s="88"/>
      <c r="J39" s="88"/>
      <c r="K39" s="88"/>
      <c r="L39" s="12">
        <f>'Stavební rozpočet'!L282</f>
        <v>0</v>
      </c>
      <c r="M39" s="12" t="s">
        <v>80</v>
      </c>
      <c r="N39" s="12">
        <f t="shared" si="0"/>
        <v>0</v>
      </c>
      <c r="O39" s="4" t="s">
        <v>8</v>
      </c>
      <c r="P39" s="12">
        <f t="shared" si="1"/>
        <v>0</v>
      </c>
    </row>
    <row r="40" spans="1:16" x14ac:dyDescent="0.2">
      <c r="A40" s="4" t="s">
        <v>8</v>
      </c>
      <c r="B40" s="4" t="s">
        <v>12</v>
      </c>
      <c r="C40" s="89" t="s">
        <v>41</v>
      </c>
      <c r="D40" s="88"/>
      <c r="E40" s="88"/>
      <c r="F40" s="88"/>
      <c r="G40" s="88"/>
      <c r="H40" s="88"/>
      <c r="I40" s="88"/>
      <c r="J40" s="88"/>
      <c r="K40" s="88"/>
      <c r="L40" s="12">
        <f>'Stavební rozpočet'!L283</f>
        <v>0</v>
      </c>
      <c r="M40" s="12" t="s">
        <v>81</v>
      </c>
      <c r="N40" s="12">
        <f t="shared" si="0"/>
        <v>0</v>
      </c>
      <c r="O40" s="4" t="s">
        <v>8</v>
      </c>
      <c r="P40" s="12">
        <f t="shared" si="1"/>
        <v>0</v>
      </c>
    </row>
    <row r="41" spans="1:16" x14ac:dyDescent="0.2">
      <c r="A41" s="4" t="s">
        <v>8</v>
      </c>
      <c r="B41" s="4" t="s">
        <v>13</v>
      </c>
      <c r="C41" s="89" t="s">
        <v>42</v>
      </c>
      <c r="D41" s="88"/>
      <c r="E41" s="88"/>
      <c r="F41" s="88"/>
      <c r="G41" s="88"/>
      <c r="H41" s="88"/>
      <c r="I41" s="88"/>
      <c r="J41" s="88"/>
      <c r="K41" s="88"/>
      <c r="L41" s="12">
        <f>'Stavební rozpočet'!L297</f>
        <v>0</v>
      </c>
      <c r="M41" s="12" t="s">
        <v>81</v>
      </c>
      <c r="N41" s="12">
        <f t="shared" si="0"/>
        <v>0</v>
      </c>
      <c r="O41" s="4" t="s">
        <v>8</v>
      </c>
      <c r="P41" s="12">
        <f t="shared" si="1"/>
        <v>0</v>
      </c>
    </row>
    <row r="42" spans="1:16" x14ac:dyDescent="0.2">
      <c r="A42" s="4" t="s">
        <v>8</v>
      </c>
      <c r="B42" s="4" t="s">
        <v>14</v>
      </c>
      <c r="C42" s="89" t="s">
        <v>43</v>
      </c>
      <c r="D42" s="88"/>
      <c r="E42" s="88"/>
      <c r="F42" s="88"/>
      <c r="G42" s="88"/>
      <c r="H42" s="88"/>
      <c r="I42" s="88"/>
      <c r="J42" s="88"/>
      <c r="K42" s="88"/>
      <c r="L42" s="12">
        <f>'Stavební rozpočet'!L302</f>
        <v>0</v>
      </c>
      <c r="M42" s="12" t="s">
        <v>81</v>
      </c>
      <c r="N42" s="12">
        <f t="shared" si="0"/>
        <v>0</v>
      </c>
      <c r="O42" s="4" t="s">
        <v>8</v>
      </c>
      <c r="P42" s="12">
        <f t="shared" si="1"/>
        <v>0</v>
      </c>
    </row>
    <row r="43" spans="1:16" x14ac:dyDescent="0.2">
      <c r="A43" s="4" t="s">
        <v>8</v>
      </c>
      <c r="B43" s="4" t="s">
        <v>15</v>
      </c>
      <c r="C43" s="89" t="s">
        <v>44</v>
      </c>
      <c r="D43" s="88"/>
      <c r="E43" s="88"/>
      <c r="F43" s="88"/>
      <c r="G43" s="88"/>
      <c r="H43" s="88"/>
      <c r="I43" s="88"/>
      <c r="J43" s="88"/>
      <c r="K43" s="88"/>
      <c r="L43" s="12">
        <f>'Stavební rozpočet'!L311</f>
        <v>0</v>
      </c>
      <c r="M43" s="12" t="s">
        <v>81</v>
      </c>
      <c r="N43" s="12">
        <f t="shared" si="0"/>
        <v>0</v>
      </c>
      <c r="O43" s="4" t="s">
        <v>8</v>
      </c>
      <c r="P43" s="12">
        <f t="shared" si="1"/>
        <v>0</v>
      </c>
    </row>
    <row r="44" spans="1:16" x14ac:dyDescent="0.2">
      <c r="A44" s="4" t="s">
        <v>8</v>
      </c>
      <c r="B44" s="4" t="s">
        <v>16</v>
      </c>
      <c r="C44" s="89" t="s">
        <v>45</v>
      </c>
      <c r="D44" s="88"/>
      <c r="E44" s="88"/>
      <c r="F44" s="88"/>
      <c r="G44" s="88"/>
      <c r="H44" s="88"/>
      <c r="I44" s="88"/>
      <c r="J44" s="88"/>
      <c r="K44" s="88"/>
      <c r="L44" s="12">
        <f>'Stavební rozpočet'!L315</f>
        <v>0</v>
      </c>
      <c r="M44" s="12" t="s">
        <v>81</v>
      </c>
      <c r="N44" s="12">
        <f t="shared" si="0"/>
        <v>0</v>
      </c>
      <c r="O44" s="4" t="s">
        <v>8</v>
      </c>
      <c r="P44" s="12">
        <f t="shared" si="1"/>
        <v>0</v>
      </c>
    </row>
    <row r="45" spans="1:16" x14ac:dyDescent="0.2">
      <c r="A45" s="4" t="s">
        <v>8</v>
      </c>
      <c r="B45" s="4" t="s">
        <v>17</v>
      </c>
      <c r="C45" s="89" t="s">
        <v>46</v>
      </c>
      <c r="D45" s="88"/>
      <c r="E45" s="88"/>
      <c r="F45" s="88"/>
      <c r="G45" s="88"/>
      <c r="H45" s="88"/>
      <c r="I45" s="88"/>
      <c r="J45" s="88"/>
      <c r="K45" s="88"/>
      <c r="L45" s="12">
        <f>'Stavební rozpočet'!L318</f>
        <v>0</v>
      </c>
      <c r="M45" s="12" t="s">
        <v>81</v>
      </c>
      <c r="N45" s="12">
        <f t="shared" si="0"/>
        <v>0</v>
      </c>
      <c r="O45" s="4" t="s">
        <v>8</v>
      </c>
      <c r="P45" s="12">
        <f t="shared" si="1"/>
        <v>0</v>
      </c>
    </row>
    <row r="46" spans="1:16" x14ac:dyDescent="0.2">
      <c r="A46" s="4" t="s">
        <v>8</v>
      </c>
      <c r="B46" s="4" t="s">
        <v>19</v>
      </c>
      <c r="C46" s="89" t="s">
        <v>48</v>
      </c>
      <c r="D46" s="88"/>
      <c r="E46" s="88"/>
      <c r="F46" s="88"/>
      <c r="G46" s="88"/>
      <c r="H46" s="88"/>
      <c r="I46" s="88"/>
      <c r="J46" s="88"/>
      <c r="K46" s="88"/>
      <c r="L46" s="12">
        <f>'Stavební rozpočet'!L322</f>
        <v>0</v>
      </c>
      <c r="M46" s="12" t="s">
        <v>81</v>
      </c>
      <c r="N46" s="12">
        <f t="shared" si="0"/>
        <v>0</v>
      </c>
      <c r="O46" s="4" t="s">
        <v>8</v>
      </c>
      <c r="P46" s="12">
        <f t="shared" si="1"/>
        <v>0</v>
      </c>
    </row>
    <row r="47" spans="1:16" x14ac:dyDescent="0.2">
      <c r="A47" s="4" t="s">
        <v>8</v>
      </c>
      <c r="B47" s="4" t="s">
        <v>23</v>
      </c>
      <c r="C47" s="89" t="s">
        <v>52</v>
      </c>
      <c r="D47" s="88"/>
      <c r="E47" s="88"/>
      <c r="F47" s="88"/>
      <c r="G47" s="88"/>
      <c r="H47" s="88"/>
      <c r="I47" s="88"/>
      <c r="J47" s="88"/>
      <c r="K47" s="88"/>
      <c r="L47" s="12">
        <f>'Stavební rozpočet'!L334</f>
        <v>0</v>
      </c>
      <c r="M47" s="12" t="s">
        <v>81</v>
      </c>
      <c r="N47" s="12">
        <f t="shared" si="0"/>
        <v>0</v>
      </c>
      <c r="O47" s="4" t="s">
        <v>8</v>
      </c>
      <c r="P47" s="12">
        <f t="shared" si="1"/>
        <v>0</v>
      </c>
    </row>
    <row r="48" spans="1:16" x14ac:dyDescent="0.2">
      <c r="A48" s="4" t="s">
        <v>8</v>
      </c>
      <c r="B48" s="4" t="s">
        <v>24</v>
      </c>
      <c r="C48" s="89" t="s">
        <v>53</v>
      </c>
      <c r="D48" s="88"/>
      <c r="E48" s="88"/>
      <c r="F48" s="88"/>
      <c r="G48" s="88"/>
      <c r="H48" s="88"/>
      <c r="I48" s="88"/>
      <c r="J48" s="88"/>
      <c r="K48" s="88"/>
      <c r="L48" s="12">
        <f>'Stavební rozpočet'!L339</f>
        <v>0</v>
      </c>
      <c r="M48" s="12" t="s">
        <v>81</v>
      </c>
      <c r="N48" s="12">
        <f t="shared" si="0"/>
        <v>0</v>
      </c>
      <c r="O48" s="4" t="s">
        <v>8</v>
      </c>
      <c r="P48" s="12">
        <f t="shared" si="1"/>
        <v>0</v>
      </c>
    </row>
    <row r="49" spans="1:16" x14ac:dyDescent="0.2">
      <c r="A49" s="4" t="s">
        <v>8</v>
      </c>
      <c r="B49" s="4" t="s">
        <v>34</v>
      </c>
      <c r="C49" s="89" t="s">
        <v>63</v>
      </c>
      <c r="D49" s="88"/>
      <c r="E49" s="88"/>
      <c r="F49" s="88"/>
      <c r="G49" s="88"/>
      <c r="H49" s="88"/>
      <c r="I49" s="88"/>
      <c r="J49" s="88"/>
      <c r="K49" s="88"/>
      <c r="L49" s="12">
        <f>'Stavební rozpočet'!L346</f>
        <v>0</v>
      </c>
      <c r="M49" s="12" t="s">
        <v>81</v>
      </c>
      <c r="N49" s="12">
        <f t="shared" si="0"/>
        <v>0</v>
      </c>
      <c r="O49" s="4" t="s">
        <v>8</v>
      </c>
      <c r="P49" s="12">
        <f t="shared" si="1"/>
        <v>0</v>
      </c>
    </row>
    <row r="50" spans="1:16" x14ac:dyDescent="0.2">
      <c r="A50" s="4" t="s">
        <v>8</v>
      </c>
      <c r="B50" s="4" t="s">
        <v>36</v>
      </c>
      <c r="C50" s="89" t="s">
        <v>65</v>
      </c>
      <c r="D50" s="88"/>
      <c r="E50" s="88"/>
      <c r="F50" s="88"/>
      <c r="G50" s="88"/>
      <c r="H50" s="88"/>
      <c r="I50" s="88"/>
      <c r="J50" s="88"/>
      <c r="K50" s="88"/>
      <c r="L50" s="12">
        <f>'Stavební rozpočet'!L349</f>
        <v>0</v>
      </c>
      <c r="M50" s="12" t="s">
        <v>81</v>
      </c>
      <c r="N50" s="12">
        <f t="shared" si="0"/>
        <v>0</v>
      </c>
      <c r="O50" s="4" t="s">
        <v>8</v>
      </c>
      <c r="P50" s="12">
        <f t="shared" si="1"/>
        <v>0</v>
      </c>
    </row>
    <row r="51" spans="1:16" x14ac:dyDescent="0.2">
      <c r="A51" s="4" t="s">
        <v>8</v>
      </c>
      <c r="B51" s="4" t="s">
        <v>38</v>
      </c>
      <c r="C51" s="89" t="s">
        <v>68</v>
      </c>
      <c r="D51" s="88"/>
      <c r="E51" s="88"/>
      <c r="F51" s="88"/>
      <c r="G51" s="88"/>
      <c r="H51" s="88"/>
      <c r="I51" s="88"/>
      <c r="J51" s="88"/>
      <c r="K51" s="88"/>
      <c r="L51" s="12">
        <f>'Stavební rozpočet'!L351</f>
        <v>0</v>
      </c>
      <c r="M51" s="12" t="s">
        <v>81</v>
      </c>
      <c r="N51" s="12">
        <f t="shared" si="0"/>
        <v>0</v>
      </c>
      <c r="O51" s="4" t="s">
        <v>8</v>
      </c>
      <c r="P51" s="12">
        <f t="shared" si="1"/>
        <v>0</v>
      </c>
    </row>
    <row r="52" spans="1:16" x14ac:dyDescent="0.2">
      <c r="A52" s="5" t="s">
        <v>8</v>
      </c>
      <c r="B52" s="5" t="s">
        <v>37</v>
      </c>
      <c r="C52" s="83" t="s">
        <v>66</v>
      </c>
      <c r="D52" s="84"/>
      <c r="E52" s="84"/>
      <c r="F52" s="84"/>
      <c r="G52" s="84"/>
      <c r="H52" s="84"/>
      <c r="I52" s="84"/>
      <c r="J52" s="84"/>
      <c r="K52" s="84"/>
      <c r="L52" s="14">
        <f>'Stavební rozpočet'!L354</f>
        <v>0</v>
      </c>
      <c r="M52" s="12" t="s">
        <v>81</v>
      </c>
      <c r="N52" s="12">
        <f t="shared" si="0"/>
        <v>0</v>
      </c>
      <c r="O52" s="4" t="s">
        <v>8</v>
      </c>
      <c r="P52" s="12">
        <f t="shared" si="1"/>
        <v>0</v>
      </c>
    </row>
    <row r="53" spans="1:16" x14ac:dyDescent="0.2">
      <c r="A53" s="6"/>
      <c r="B53" s="6"/>
      <c r="C53" s="6"/>
      <c r="D53" s="6"/>
      <c r="E53" s="6"/>
      <c r="F53" s="6"/>
      <c r="G53" s="6"/>
      <c r="H53" s="6"/>
      <c r="I53" s="6"/>
      <c r="J53" s="85" t="s">
        <v>77</v>
      </c>
      <c r="K53" s="86"/>
      <c r="L53" s="15">
        <f>SUM(N12:N52)</f>
        <v>0</v>
      </c>
    </row>
    <row r="54" spans="1:16" ht="11.25" customHeight="1" x14ac:dyDescent="0.2">
      <c r="A54" s="7" t="s">
        <v>9</v>
      </c>
    </row>
    <row r="55" spans="1:16" ht="51.4" customHeight="1" x14ac:dyDescent="0.2">
      <c r="A55" s="87" t="s">
        <v>10</v>
      </c>
      <c r="B55" s="88"/>
      <c r="C55" s="88"/>
      <c r="D55" s="88"/>
      <c r="E55" s="88"/>
      <c r="F55" s="88"/>
      <c r="G55" s="88"/>
      <c r="H55" s="88"/>
      <c r="I55" s="88"/>
      <c r="J55" s="88"/>
      <c r="K55" s="88"/>
    </row>
  </sheetData>
  <sheetProtection password="C4B7" sheet="1" objects="1" scenarios="1"/>
  <mergeCells count="70">
    <mergeCell ref="J4:L5"/>
    <mergeCell ref="A1:L1"/>
    <mergeCell ref="A2:C3"/>
    <mergeCell ref="D2:D3"/>
    <mergeCell ref="E2:F3"/>
    <mergeCell ref="G2:H3"/>
    <mergeCell ref="I2:I3"/>
    <mergeCell ref="J2:L3"/>
    <mergeCell ref="A4:C5"/>
    <mergeCell ref="D4:D5"/>
    <mergeCell ref="E4:F5"/>
    <mergeCell ref="G4:H5"/>
    <mergeCell ref="I4:I5"/>
    <mergeCell ref="J8:L9"/>
    <mergeCell ref="A6:C7"/>
    <mergeCell ref="D6:D7"/>
    <mergeCell ref="E6:F7"/>
    <mergeCell ref="G6:H7"/>
    <mergeCell ref="I6:I7"/>
    <mergeCell ref="J6:L7"/>
    <mergeCell ref="A8:C9"/>
    <mergeCell ref="D8:D9"/>
    <mergeCell ref="E8:F9"/>
    <mergeCell ref="G8:H9"/>
    <mergeCell ref="I8:I9"/>
    <mergeCell ref="C21:K21"/>
    <mergeCell ref="C10:K10"/>
    <mergeCell ref="C11:K11"/>
    <mergeCell ref="C12:K12"/>
    <mergeCell ref="C13:K13"/>
    <mergeCell ref="C14:K14"/>
    <mergeCell ref="C15:K15"/>
    <mergeCell ref="C16:K16"/>
    <mergeCell ref="C17:K17"/>
    <mergeCell ref="C18:K18"/>
    <mergeCell ref="C19:K19"/>
    <mergeCell ref="C20:K20"/>
    <mergeCell ref="C33:K33"/>
    <mergeCell ref="C22:K22"/>
    <mergeCell ref="C23:K23"/>
    <mergeCell ref="C24:K24"/>
    <mergeCell ref="C25:K25"/>
    <mergeCell ref="C26:K26"/>
    <mergeCell ref="C27:K27"/>
    <mergeCell ref="C28:K28"/>
    <mergeCell ref="C29:K29"/>
    <mergeCell ref="C30:K30"/>
    <mergeCell ref="C31:K31"/>
    <mergeCell ref="C32:K32"/>
    <mergeCell ref="C45:K45"/>
    <mergeCell ref="C34:K34"/>
    <mergeCell ref="C35:K35"/>
    <mergeCell ref="C36:K36"/>
    <mergeCell ref="C37:K37"/>
    <mergeCell ref="C38:K38"/>
    <mergeCell ref="C39:K39"/>
    <mergeCell ref="C40:K40"/>
    <mergeCell ref="C41:K41"/>
    <mergeCell ref="C42:K42"/>
    <mergeCell ref="C43:K43"/>
    <mergeCell ref="C44:K44"/>
    <mergeCell ref="C52:K52"/>
    <mergeCell ref="J53:K53"/>
    <mergeCell ref="A55:K55"/>
    <mergeCell ref="C46:K46"/>
    <mergeCell ref="C47:K47"/>
    <mergeCell ref="C48:K48"/>
    <mergeCell ref="C49:K49"/>
    <mergeCell ref="C50:K50"/>
    <mergeCell ref="C51:K51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6"/>
  <sheetViews>
    <sheetView workbookViewId="0">
      <pane ySplit="11" topLeftCell="A12" activePane="bottomLeft" state="frozenSplit"/>
      <selection pane="bottomLeft" sqref="A1:L1"/>
    </sheetView>
  </sheetViews>
  <sheetFormatPr defaultColWidth="11.5703125" defaultRowHeight="12.75" x14ac:dyDescent="0.2"/>
  <cols>
    <col min="1" max="1" width="6.85546875" customWidth="1"/>
    <col min="2" max="2" width="4.5703125" customWidth="1"/>
    <col min="3" max="3" width="13.28515625" customWidth="1"/>
    <col min="4" max="4" width="34.140625" customWidth="1"/>
    <col min="5" max="5" width="4.28515625" customWidth="1"/>
    <col min="6" max="6" width="10.85546875" customWidth="1"/>
    <col min="7" max="7" width="12" customWidth="1"/>
    <col min="8" max="8" width="14.28515625" customWidth="1"/>
    <col min="12" max="12" width="14.28515625" customWidth="1"/>
    <col min="13" max="16" width="12.140625" hidden="1" customWidth="1"/>
  </cols>
  <sheetData>
    <row r="1" spans="1:16" ht="72.95" customHeight="1" x14ac:dyDescent="0.35">
      <c r="A1" s="103" t="s">
        <v>82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</row>
    <row r="2" spans="1:16" x14ac:dyDescent="0.2">
      <c r="A2" s="105" t="s">
        <v>1</v>
      </c>
      <c r="B2" s="106"/>
      <c r="C2" s="106"/>
      <c r="D2" s="107" t="str">
        <f>'Stavební rozpočet'!D2</f>
        <v>REVITALIZACE ZELENĚ A ÚPRAVA ZPEVNĚNÝCH PLOCH ZŠ MĚSTO ALBRECHTICE</v>
      </c>
      <c r="E2" s="109" t="s">
        <v>69</v>
      </c>
      <c r="F2" s="106"/>
      <c r="G2" s="109" t="str">
        <f>'Stavební rozpočet'!G2</f>
        <v xml:space="preserve"> </v>
      </c>
      <c r="H2" s="106"/>
      <c r="I2" s="109" t="s">
        <v>73</v>
      </c>
      <c r="J2" s="109" t="str">
        <f>'Stavební rozpočet'!I2</f>
        <v>Město Albrechtice</v>
      </c>
      <c r="K2" s="106"/>
      <c r="L2" s="110"/>
      <c r="M2" s="10"/>
    </row>
    <row r="3" spans="1:16" ht="25.7" customHeight="1" x14ac:dyDescent="0.2">
      <c r="A3" s="102"/>
      <c r="B3" s="88"/>
      <c r="C3" s="88"/>
      <c r="D3" s="108"/>
      <c r="E3" s="88"/>
      <c r="F3" s="88"/>
      <c r="G3" s="88"/>
      <c r="H3" s="88"/>
      <c r="I3" s="88"/>
      <c r="J3" s="88"/>
      <c r="K3" s="88"/>
      <c r="L3" s="100"/>
      <c r="M3" s="10"/>
    </row>
    <row r="4" spans="1:16" x14ac:dyDescent="0.2">
      <c r="A4" s="97" t="s">
        <v>2</v>
      </c>
      <c r="B4" s="88"/>
      <c r="C4" s="88"/>
      <c r="D4" s="87" t="str">
        <f>'Stavební rozpočet'!D4</f>
        <v xml:space="preserve"> </v>
      </c>
      <c r="E4" s="87" t="s">
        <v>70</v>
      </c>
      <c r="F4" s="88"/>
      <c r="G4" s="87" t="str">
        <f>'Stavební rozpočet'!G4</f>
        <v xml:space="preserve"> </v>
      </c>
      <c r="H4" s="88"/>
      <c r="I4" s="87" t="s">
        <v>74</v>
      </c>
      <c r="J4" s="87" t="str">
        <f>'Stavební rozpočet'!I4</f>
        <v xml:space="preserve">Ing. Grigorios Akritidis_x000D_
</v>
      </c>
      <c r="K4" s="88"/>
      <c r="L4" s="100"/>
      <c r="M4" s="10"/>
    </row>
    <row r="5" spans="1:16" x14ac:dyDescent="0.2">
      <c r="A5" s="102"/>
      <c r="B5" s="88"/>
      <c r="C5" s="88"/>
      <c r="D5" s="88"/>
      <c r="E5" s="88"/>
      <c r="F5" s="88"/>
      <c r="G5" s="88"/>
      <c r="H5" s="88"/>
      <c r="I5" s="88"/>
      <c r="J5" s="88"/>
      <c r="K5" s="88"/>
      <c r="L5" s="100"/>
      <c r="M5" s="10"/>
    </row>
    <row r="6" spans="1:16" x14ac:dyDescent="0.2">
      <c r="A6" s="97" t="s">
        <v>3</v>
      </c>
      <c r="B6" s="88"/>
      <c r="C6" s="88"/>
      <c r="D6" s="87" t="str">
        <f>'Stavební rozpočet'!D6</f>
        <v>Město Albrechtice</v>
      </c>
      <c r="E6" s="87" t="s">
        <v>71</v>
      </c>
      <c r="F6" s="88"/>
      <c r="G6" s="87" t="str">
        <f>'Stavební rozpočet'!G6</f>
        <v xml:space="preserve"> </v>
      </c>
      <c r="H6" s="88"/>
      <c r="I6" s="87" t="s">
        <v>75</v>
      </c>
      <c r="J6" s="87" t="str">
        <f>'Stavební rozpočet'!I6</f>
        <v> </v>
      </c>
      <c r="K6" s="88"/>
      <c r="L6" s="100"/>
      <c r="M6" s="10"/>
    </row>
    <row r="7" spans="1:16" x14ac:dyDescent="0.2">
      <c r="A7" s="102"/>
      <c r="B7" s="88"/>
      <c r="C7" s="88"/>
      <c r="D7" s="88"/>
      <c r="E7" s="88"/>
      <c r="F7" s="88"/>
      <c r="G7" s="88"/>
      <c r="H7" s="88"/>
      <c r="I7" s="88"/>
      <c r="J7" s="88"/>
      <c r="K7" s="88"/>
      <c r="L7" s="100"/>
      <c r="M7" s="10"/>
    </row>
    <row r="8" spans="1:16" x14ac:dyDescent="0.2">
      <c r="A8" s="97" t="s">
        <v>4</v>
      </c>
      <c r="B8" s="88"/>
      <c r="C8" s="88"/>
      <c r="D8" s="87" t="str">
        <f>'Stavební rozpočet'!D8</f>
        <v xml:space="preserve"> </v>
      </c>
      <c r="E8" s="87" t="s">
        <v>72</v>
      </c>
      <c r="F8" s="88"/>
      <c r="G8" s="87" t="str">
        <f>'Stavební rozpočet'!G8</f>
        <v>02.08.2019</v>
      </c>
      <c r="H8" s="88"/>
      <c r="I8" s="87" t="s">
        <v>76</v>
      </c>
      <c r="J8" s="87" t="str">
        <f>'Stavební rozpočet'!I8</f>
        <v>Kamil Beck</v>
      </c>
      <c r="K8" s="88"/>
      <c r="L8" s="100"/>
      <c r="M8" s="10"/>
    </row>
    <row r="9" spans="1:16" x14ac:dyDescent="0.2">
      <c r="A9" s="98"/>
      <c r="B9" s="99"/>
      <c r="C9" s="99"/>
      <c r="D9" s="99"/>
      <c r="E9" s="99"/>
      <c r="F9" s="99"/>
      <c r="G9" s="99"/>
      <c r="H9" s="99"/>
      <c r="I9" s="99"/>
      <c r="J9" s="99"/>
      <c r="K9" s="99"/>
      <c r="L9" s="101"/>
      <c r="M9" s="10"/>
    </row>
    <row r="10" spans="1:16" x14ac:dyDescent="0.2">
      <c r="A10" s="1" t="s">
        <v>5</v>
      </c>
      <c r="B10" s="90" t="s">
        <v>5</v>
      </c>
      <c r="C10" s="91"/>
      <c r="D10" s="91"/>
      <c r="E10" s="91"/>
      <c r="F10" s="91"/>
      <c r="G10" s="91"/>
      <c r="H10" s="91"/>
      <c r="I10" s="91"/>
      <c r="J10" s="91"/>
      <c r="K10" s="92"/>
      <c r="L10" s="8" t="s">
        <v>78</v>
      </c>
      <c r="M10" s="11"/>
    </row>
    <row r="11" spans="1:16" x14ac:dyDescent="0.2">
      <c r="A11" s="2" t="s">
        <v>6</v>
      </c>
      <c r="B11" s="93" t="s">
        <v>39</v>
      </c>
      <c r="C11" s="94"/>
      <c r="D11" s="94"/>
      <c r="E11" s="94"/>
      <c r="F11" s="94"/>
      <c r="G11" s="94"/>
      <c r="H11" s="94"/>
      <c r="I11" s="94"/>
      <c r="J11" s="94"/>
      <c r="K11" s="95"/>
      <c r="L11" s="9" t="s">
        <v>79</v>
      </c>
      <c r="M11" s="11"/>
    </row>
    <row r="12" spans="1:16" x14ac:dyDescent="0.2">
      <c r="A12" s="3" t="s">
        <v>7</v>
      </c>
      <c r="B12" s="96" t="s">
        <v>40</v>
      </c>
      <c r="C12" s="91"/>
      <c r="D12" s="91"/>
      <c r="E12" s="91"/>
      <c r="F12" s="91"/>
      <c r="G12" s="91"/>
      <c r="H12" s="91"/>
      <c r="I12" s="91"/>
      <c r="J12" s="91"/>
      <c r="K12" s="91"/>
      <c r="L12" s="13">
        <f>'Stavební rozpočet'!L12</f>
        <v>0</v>
      </c>
      <c r="M12" s="12" t="s">
        <v>80</v>
      </c>
      <c r="N12" s="12">
        <f>IF(M12="F",0,L12)</f>
        <v>0</v>
      </c>
      <c r="O12" s="4" t="s">
        <v>7</v>
      </c>
      <c r="P12" s="12">
        <f>IF(M12="T",0,L12)</f>
        <v>0</v>
      </c>
    </row>
    <row r="13" spans="1:16" x14ac:dyDescent="0.2">
      <c r="A13" s="5" t="s">
        <v>8</v>
      </c>
      <c r="B13" s="83" t="s">
        <v>67</v>
      </c>
      <c r="C13" s="84"/>
      <c r="D13" s="84"/>
      <c r="E13" s="84"/>
      <c r="F13" s="84"/>
      <c r="G13" s="84"/>
      <c r="H13" s="84"/>
      <c r="I13" s="84"/>
      <c r="J13" s="84"/>
      <c r="K13" s="84"/>
      <c r="L13" s="14">
        <f>'Stavební rozpočet'!L282</f>
        <v>0</v>
      </c>
      <c r="M13" s="12" t="s">
        <v>80</v>
      </c>
      <c r="N13" s="12">
        <f>IF(M13="F",0,L13)</f>
        <v>0</v>
      </c>
      <c r="O13" s="4" t="s">
        <v>8</v>
      </c>
      <c r="P13" s="12">
        <f>IF(M13="T",0,L13)</f>
        <v>0</v>
      </c>
    </row>
    <row r="14" spans="1:16" x14ac:dyDescent="0.2">
      <c r="A14" s="6"/>
      <c r="B14" s="6"/>
      <c r="C14" s="6"/>
      <c r="D14" s="6"/>
      <c r="E14" s="6"/>
      <c r="F14" s="6"/>
      <c r="G14" s="6"/>
      <c r="H14" s="6"/>
      <c r="I14" s="6"/>
      <c r="J14" s="85" t="s">
        <v>77</v>
      </c>
      <c r="K14" s="86"/>
      <c r="L14" s="15">
        <f>SUM(P12:P13)</f>
        <v>0</v>
      </c>
    </row>
    <row r="15" spans="1:16" ht="11.25" customHeight="1" x14ac:dyDescent="0.2">
      <c r="A15" s="7" t="s">
        <v>9</v>
      </c>
    </row>
    <row r="16" spans="1:16" ht="51.4" customHeight="1" x14ac:dyDescent="0.2">
      <c r="A16" s="87" t="s">
        <v>10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</row>
  </sheetData>
  <sheetProtection password="C4B7" sheet="1" objects="1" scenarios="1"/>
  <mergeCells count="31">
    <mergeCell ref="A1:L1"/>
    <mergeCell ref="A2:C3"/>
    <mergeCell ref="D2:D3"/>
    <mergeCell ref="E2:F3"/>
    <mergeCell ref="G2:H3"/>
    <mergeCell ref="I2:I3"/>
    <mergeCell ref="J2:L3"/>
    <mergeCell ref="J6:L7"/>
    <mergeCell ref="A4:C5"/>
    <mergeCell ref="D4:D5"/>
    <mergeCell ref="E4:F5"/>
    <mergeCell ref="G4:H5"/>
    <mergeCell ref="I4:I5"/>
    <mergeCell ref="J4:L5"/>
    <mergeCell ref="A6:C7"/>
    <mergeCell ref="D6:D7"/>
    <mergeCell ref="E6:F7"/>
    <mergeCell ref="G6:H7"/>
    <mergeCell ref="I6:I7"/>
    <mergeCell ref="A16:K16"/>
    <mergeCell ref="A8:C9"/>
    <mergeCell ref="D8:D9"/>
    <mergeCell ref="E8:F9"/>
    <mergeCell ref="G8:H9"/>
    <mergeCell ref="I8:I9"/>
    <mergeCell ref="J8:L9"/>
    <mergeCell ref="B10:K10"/>
    <mergeCell ref="B11:K11"/>
    <mergeCell ref="B12:K12"/>
    <mergeCell ref="B13:K13"/>
    <mergeCell ref="J14:K14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68"/>
  <sheetViews>
    <sheetView workbookViewId="0">
      <pane ySplit="10" topLeftCell="A11" activePane="bottomLeft" state="frozenSplit"/>
      <selection pane="bottomLeft" sqref="A1:H1"/>
    </sheetView>
  </sheetViews>
  <sheetFormatPr defaultColWidth="11.5703125" defaultRowHeight="12.75" x14ac:dyDescent="0.2"/>
  <cols>
    <col min="1" max="2" width="9.140625" customWidth="1"/>
    <col min="3" max="3" width="13.28515625" customWidth="1"/>
    <col min="4" max="4" width="82.85546875" customWidth="1"/>
    <col min="5" max="5" width="14.5703125" customWidth="1"/>
    <col min="6" max="6" width="24.140625" customWidth="1"/>
    <col min="7" max="7" width="15.7109375" customWidth="1"/>
    <col min="8" max="8" width="18.140625" customWidth="1"/>
  </cols>
  <sheetData>
    <row r="1" spans="1:9" ht="72.95" customHeight="1" x14ac:dyDescent="0.35">
      <c r="A1" s="103" t="s">
        <v>83</v>
      </c>
      <c r="B1" s="104"/>
      <c r="C1" s="104"/>
      <c r="D1" s="104"/>
      <c r="E1" s="104"/>
      <c r="F1" s="104"/>
      <c r="G1" s="104"/>
      <c r="H1" s="104"/>
    </row>
    <row r="2" spans="1:9" x14ac:dyDescent="0.2">
      <c r="A2" s="105" t="s">
        <v>1</v>
      </c>
      <c r="B2" s="106"/>
      <c r="C2" s="107" t="str">
        <f>'Stavební rozpočet'!D2</f>
        <v>REVITALIZACE ZELENĚ A ÚPRAVA ZPEVNĚNÝCH PLOCH ZŠ MĚSTO ALBRECHTICE</v>
      </c>
      <c r="D2" s="86"/>
      <c r="E2" s="109" t="s">
        <v>73</v>
      </c>
      <c r="F2" s="109" t="str">
        <f>'Stavební rozpočet'!I2</f>
        <v>Město Albrechtice</v>
      </c>
      <c r="G2" s="106"/>
      <c r="H2" s="110"/>
      <c r="I2" s="10"/>
    </row>
    <row r="3" spans="1:9" x14ac:dyDescent="0.2">
      <c r="A3" s="102"/>
      <c r="B3" s="88"/>
      <c r="C3" s="108"/>
      <c r="D3" s="108"/>
      <c r="E3" s="88"/>
      <c r="F3" s="88"/>
      <c r="G3" s="88"/>
      <c r="H3" s="100"/>
      <c r="I3" s="10"/>
    </row>
    <row r="4" spans="1:9" x14ac:dyDescent="0.2">
      <c r="A4" s="97" t="s">
        <v>2</v>
      </c>
      <c r="B4" s="88"/>
      <c r="C4" s="87" t="str">
        <f>'Stavební rozpočet'!D4</f>
        <v xml:space="preserve"> </v>
      </c>
      <c r="D4" s="88"/>
      <c r="E4" s="87" t="s">
        <v>74</v>
      </c>
      <c r="F4" s="87" t="str">
        <f>'Stavební rozpočet'!I4</f>
        <v xml:space="preserve">Ing. Grigorios Akritidis_x000D_
</v>
      </c>
      <c r="G4" s="88"/>
      <c r="H4" s="100"/>
      <c r="I4" s="10"/>
    </row>
    <row r="5" spans="1:9" x14ac:dyDescent="0.2">
      <c r="A5" s="102"/>
      <c r="B5" s="88"/>
      <c r="C5" s="88"/>
      <c r="D5" s="88"/>
      <c r="E5" s="88"/>
      <c r="F5" s="88"/>
      <c r="G5" s="88"/>
      <c r="H5" s="100"/>
      <c r="I5" s="10"/>
    </row>
    <row r="6" spans="1:9" x14ac:dyDescent="0.2">
      <c r="A6" s="97" t="s">
        <v>3</v>
      </c>
      <c r="B6" s="88"/>
      <c r="C6" s="87" t="str">
        <f>'Stavební rozpočet'!D6</f>
        <v>Město Albrechtice</v>
      </c>
      <c r="D6" s="88"/>
      <c r="E6" s="87" t="s">
        <v>75</v>
      </c>
      <c r="F6" s="87" t="str">
        <f>'Stavební rozpočet'!I6</f>
        <v> </v>
      </c>
      <c r="G6" s="88"/>
      <c r="H6" s="100"/>
      <c r="I6" s="10"/>
    </row>
    <row r="7" spans="1:9" x14ac:dyDescent="0.2">
      <c r="A7" s="102"/>
      <c r="B7" s="88"/>
      <c r="C7" s="88"/>
      <c r="D7" s="88"/>
      <c r="E7" s="88"/>
      <c r="F7" s="88"/>
      <c r="G7" s="88"/>
      <c r="H7" s="100"/>
      <c r="I7" s="10"/>
    </row>
    <row r="8" spans="1:9" x14ac:dyDescent="0.2">
      <c r="A8" s="97" t="s">
        <v>76</v>
      </c>
      <c r="B8" s="88"/>
      <c r="C8" s="87" t="str">
        <f>'Stavební rozpočet'!I8</f>
        <v>Kamil Beck</v>
      </c>
      <c r="D8" s="88"/>
      <c r="E8" s="87" t="s">
        <v>72</v>
      </c>
      <c r="F8" s="87" t="str">
        <f>'Stavební rozpočet'!G8</f>
        <v>02.08.2019</v>
      </c>
      <c r="G8" s="88"/>
      <c r="H8" s="100"/>
      <c r="I8" s="10"/>
    </row>
    <row r="9" spans="1:9" x14ac:dyDescent="0.2">
      <c r="A9" s="98"/>
      <c r="B9" s="99"/>
      <c r="C9" s="99"/>
      <c r="D9" s="99"/>
      <c r="E9" s="99"/>
      <c r="F9" s="99"/>
      <c r="G9" s="99"/>
      <c r="H9" s="101"/>
      <c r="I9" s="10"/>
    </row>
    <row r="10" spans="1:9" x14ac:dyDescent="0.2">
      <c r="A10" s="16" t="s">
        <v>84</v>
      </c>
      <c r="B10" s="21" t="s">
        <v>6</v>
      </c>
      <c r="C10" s="21" t="s">
        <v>11</v>
      </c>
      <c r="D10" s="125" t="s">
        <v>457</v>
      </c>
      <c r="E10" s="126"/>
      <c r="F10" s="21" t="s">
        <v>780</v>
      </c>
      <c r="G10" s="24" t="s">
        <v>791</v>
      </c>
      <c r="H10" s="31" t="s">
        <v>792</v>
      </c>
      <c r="I10" s="11"/>
    </row>
    <row r="11" spans="1:9" x14ac:dyDescent="0.2">
      <c r="A11" s="17"/>
      <c r="B11" s="17"/>
      <c r="C11" s="17" t="s">
        <v>12</v>
      </c>
      <c r="D11" s="127" t="s">
        <v>41</v>
      </c>
      <c r="E11" s="128"/>
      <c r="F11" s="17"/>
      <c r="G11" s="25"/>
      <c r="H11" s="25"/>
    </row>
    <row r="12" spans="1:9" x14ac:dyDescent="0.2">
      <c r="A12" s="18" t="s">
        <v>85</v>
      </c>
      <c r="B12" s="18" t="s">
        <v>7</v>
      </c>
      <c r="C12" s="18" t="s">
        <v>283</v>
      </c>
      <c r="D12" s="111" t="s">
        <v>458</v>
      </c>
      <c r="E12" s="112"/>
      <c r="F12" s="18" t="s">
        <v>781</v>
      </c>
      <c r="G12" s="26">
        <v>1</v>
      </c>
      <c r="H12" s="26">
        <v>0</v>
      </c>
    </row>
    <row r="13" spans="1:9" ht="38.450000000000003" customHeight="1" x14ac:dyDescent="0.2">
      <c r="C13" s="22" t="s">
        <v>9</v>
      </c>
      <c r="D13" s="123" t="s">
        <v>459</v>
      </c>
      <c r="E13" s="124"/>
      <c r="F13" s="124"/>
      <c r="G13" s="124"/>
    </row>
    <row r="14" spans="1:9" x14ac:dyDescent="0.2">
      <c r="A14" s="18" t="s">
        <v>86</v>
      </c>
      <c r="B14" s="18" t="s">
        <v>7</v>
      </c>
      <c r="C14" s="18" t="s">
        <v>284</v>
      </c>
      <c r="D14" s="111" t="s">
        <v>460</v>
      </c>
      <c r="E14" s="112"/>
      <c r="F14" s="18" t="s">
        <v>781</v>
      </c>
      <c r="G14" s="26">
        <v>1</v>
      </c>
      <c r="H14" s="26">
        <v>0</v>
      </c>
    </row>
    <row r="15" spans="1:9" x14ac:dyDescent="0.2">
      <c r="A15" s="18" t="s">
        <v>87</v>
      </c>
      <c r="B15" s="18" t="s">
        <v>7</v>
      </c>
      <c r="C15" s="18" t="s">
        <v>284</v>
      </c>
      <c r="D15" s="111" t="s">
        <v>461</v>
      </c>
      <c r="E15" s="112"/>
      <c r="F15" s="18" t="s">
        <v>781</v>
      </c>
      <c r="G15" s="26">
        <v>1</v>
      </c>
      <c r="H15" s="26">
        <v>0</v>
      </c>
    </row>
    <row r="16" spans="1:9" x14ac:dyDescent="0.2">
      <c r="A16" s="18" t="s">
        <v>88</v>
      </c>
      <c r="B16" s="18" t="s">
        <v>7</v>
      </c>
      <c r="C16" s="18" t="s">
        <v>285</v>
      </c>
      <c r="D16" s="111" t="s">
        <v>462</v>
      </c>
      <c r="E16" s="112"/>
      <c r="F16" s="18" t="s">
        <v>781</v>
      </c>
      <c r="G16" s="26">
        <v>1</v>
      </c>
      <c r="H16" s="26">
        <v>0</v>
      </c>
    </row>
    <row r="17" spans="1:8" ht="115.5" customHeight="1" x14ac:dyDescent="0.2">
      <c r="C17" s="22" t="s">
        <v>9</v>
      </c>
      <c r="D17" s="123" t="s">
        <v>463</v>
      </c>
      <c r="E17" s="124"/>
      <c r="F17" s="124"/>
      <c r="G17" s="124"/>
    </row>
    <row r="18" spans="1:8" x14ac:dyDescent="0.2">
      <c r="A18" s="18" t="s">
        <v>89</v>
      </c>
      <c r="B18" s="18" t="s">
        <v>7</v>
      </c>
      <c r="C18" s="18" t="s">
        <v>286</v>
      </c>
      <c r="D18" s="111" t="s">
        <v>464</v>
      </c>
      <c r="E18" s="112"/>
      <c r="F18" s="18" t="s">
        <v>781</v>
      </c>
      <c r="G18" s="26">
        <v>1</v>
      </c>
      <c r="H18" s="26">
        <v>0</v>
      </c>
    </row>
    <row r="19" spans="1:8" ht="141.19999999999999" customHeight="1" x14ac:dyDescent="0.2">
      <c r="C19" s="22" t="s">
        <v>9</v>
      </c>
      <c r="D19" s="123" t="s">
        <v>465</v>
      </c>
      <c r="E19" s="124"/>
      <c r="F19" s="124"/>
      <c r="G19" s="124"/>
    </row>
    <row r="20" spans="1:8" x14ac:dyDescent="0.2">
      <c r="A20" s="18" t="s">
        <v>90</v>
      </c>
      <c r="B20" s="18" t="s">
        <v>7</v>
      </c>
      <c r="C20" s="18" t="s">
        <v>287</v>
      </c>
      <c r="D20" s="111" t="s">
        <v>466</v>
      </c>
      <c r="E20" s="112"/>
      <c r="F20" s="18" t="s">
        <v>781</v>
      </c>
      <c r="G20" s="26">
        <v>1</v>
      </c>
      <c r="H20" s="26">
        <v>0</v>
      </c>
    </row>
    <row r="21" spans="1:8" ht="12.95" customHeight="1" x14ac:dyDescent="0.2">
      <c r="C21" s="22" t="s">
        <v>9</v>
      </c>
      <c r="D21" s="123" t="s">
        <v>467</v>
      </c>
      <c r="E21" s="124"/>
      <c r="F21" s="124"/>
      <c r="G21" s="124"/>
    </row>
    <row r="22" spans="1:8" x14ac:dyDescent="0.2">
      <c r="A22" s="18" t="s">
        <v>91</v>
      </c>
      <c r="B22" s="18" t="s">
        <v>7</v>
      </c>
      <c r="C22" s="18" t="s">
        <v>288</v>
      </c>
      <c r="D22" s="111" t="s">
        <v>468</v>
      </c>
      <c r="E22" s="112"/>
      <c r="F22" s="18" t="s">
        <v>781</v>
      </c>
      <c r="G22" s="26">
        <v>1</v>
      </c>
      <c r="H22" s="26">
        <v>0</v>
      </c>
    </row>
    <row r="23" spans="1:8" x14ac:dyDescent="0.2">
      <c r="A23" s="18" t="s">
        <v>92</v>
      </c>
      <c r="B23" s="18" t="s">
        <v>7</v>
      </c>
      <c r="C23" s="18" t="s">
        <v>289</v>
      </c>
      <c r="D23" s="111" t="s">
        <v>469</v>
      </c>
      <c r="E23" s="112"/>
      <c r="F23" s="18" t="s">
        <v>781</v>
      </c>
      <c r="G23" s="26">
        <v>1</v>
      </c>
      <c r="H23" s="26">
        <v>0</v>
      </c>
    </row>
    <row r="24" spans="1:8" x14ac:dyDescent="0.2">
      <c r="A24" s="18" t="s">
        <v>93</v>
      </c>
      <c r="B24" s="18" t="s">
        <v>7</v>
      </c>
      <c r="C24" s="18" t="s">
        <v>290</v>
      </c>
      <c r="D24" s="111" t="s">
        <v>470</v>
      </c>
      <c r="E24" s="112"/>
      <c r="F24" s="18" t="s">
        <v>781</v>
      </c>
      <c r="G24" s="26">
        <v>1</v>
      </c>
      <c r="H24" s="26">
        <v>0</v>
      </c>
    </row>
    <row r="25" spans="1:8" x14ac:dyDescent="0.2">
      <c r="A25" s="18" t="s">
        <v>94</v>
      </c>
      <c r="B25" s="18" t="s">
        <v>8</v>
      </c>
      <c r="C25" s="18" t="s">
        <v>283</v>
      </c>
      <c r="D25" s="111" t="s">
        <v>458</v>
      </c>
      <c r="E25" s="112"/>
      <c r="F25" s="18" t="s">
        <v>781</v>
      </c>
      <c r="G25" s="26">
        <v>1</v>
      </c>
      <c r="H25" s="26">
        <v>0</v>
      </c>
    </row>
    <row r="26" spans="1:8" ht="38.450000000000003" customHeight="1" x14ac:dyDescent="0.2">
      <c r="C26" s="22" t="s">
        <v>9</v>
      </c>
      <c r="D26" s="123" t="s">
        <v>459</v>
      </c>
      <c r="E26" s="124"/>
      <c r="F26" s="124"/>
      <c r="G26" s="124"/>
    </row>
    <row r="27" spans="1:8" x14ac:dyDescent="0.2">
      <c r="A27" s="18" t="s">
        <v>13</v>
      </c>
      <c r="B27" s="18" t="s">
        <v>8</v>
      </c>
      <c r="C27" s="18" t="s">
        <v>291</v>
      </c>
      <c r="D27" s="111" t="s">
        <v>460</v>
      </c>
      <c r="E27" s="112"/>
      <c r="F27" s="18" t="s">
        <v>781</v>
      </c>
      <c r="G27" s="26">
        <v>1</v>
      </c>
      <c r="H27" s="26">
        <v>0</v>
      </c>
    </row>
    <row r="28" spans="1:8" x14ac:dyDescent="0.2">
      <c r="A28" s="18" t="s">
        <v>14</v>
      </c>
      <c r="B28" s="18" t="s">
        <v>8</v>
      </c>
      <c r="C28" s="18" t="s">
        <v>284</v>
      </c>
      <c r="D28" s="111" t="s">
        <v>461</v>
      </c>
      <c r="E28" s="112"/>
      <c r="F28" s="18" t="s">
        <v>781</v>
      </c>
      <c r="G28" s="26">
        <v>1</v>
      </c>
      <c r="H28" s="26">
        <v>0</v>
      </c>
    </row>
    <row r="29" spans="1:8" x14ac:dyDescent="0.2">
      <c r="A29" s="18" t="s">
        <v>15</v>
      </c>
      <c r="B29" s="18" t="s">
        <v>8</v>
      </c>
      <c r="C29" s="18" t="s">
        <v>285</v>
      </c>
      <c r="D29" s="111" t="s">
        <v>462</v>
      </c>
      <c r="E29" s="112"/>
      <c r="F29" s="18" t="s">
        <v>781</v>
      </c>
      <c r="G29" s="26">
        <v>1</v>
      </c>
      <c r="H29" s="26">
        <v>0</v>
      </c>
    </row>
    <row r="30" spans="1:8" ht="64.150000000000006" customHeight="1" x14ac:dyDescent="0.2">
      <c r="C30" s="22" t="s">
        <v>9</v>
      </c>
      <c r="D30" s="123" t="s">
        <v>471</v>
      </c>
      <c r="E30" s="124"/>
      <c r="F30" s="124"/>
      <c r="G30" s="124"/>
    </row>
    <row r="31" spans="1:8" x14ac:dyDescent="0.2">
      <c r="A31" s="18" t="s">
        <v>95</v>
      </c>
      <c r="B31" s="18" t="s">
        <v>8</v>
      </c>
      <c r="C31" s="18" t="s">
        <v>286</v>
      </c>
      <c r="D31" s="111" t="s">
        <v>464</v>
      </c>
      <c r="E31" s="112"/>
      <c r="F31" s="18" t="s">
        <v>781</v>
      </c>
      <c r="G31" s="26">
        <v>1</v>
      </c>
      <c r="H31" s="26">
        <v>0</v>
      </c>
    </row>
    <row r="32" spans="1:8" ht="141.19999999999999" customHeight="1" x14ac:dyDescent="0.2">
      <c r="C32" s="22" t="s">
        <v>9</v>
      </c>
      <c r="D32" s="123" t="s">
        <v>465</v>
      </c>
      <c r="E32" s="124"/>
      <c r="F32" s="124"/>
      <c r="G32" s="124"/>
    </row>
    <row r="33" spans="1:8" x14ac:dyDescent="0.2">
      <c r="A33" s="18" t="s">
        <v>96</v>
      </c>
      <c r="B33" s="18" t="s">
        <v>8</v>
      </c>
      <c r="C33" s="18" t="s">
        <v>287</v>
      </c>
      <c r="D33" s="111" t="s">
        <v>466</v>
      </c>
      <c r="E33" s="112"/>
      <c r="F33" s="18" t="s">
        <v>781</v>
      </c>
      <c r="G33" s="26">
        <v>1</v>
      </c>
      <c r="H33" s="26">
        <v>0</v>
      </c>
    </row>
    <row r="34" spans="1:8" ht="12.95" customHeight="1" x14ac:dyDescent="0.2">
      <c r="C34" s="22" t="s">
        <v>9</v>
      </c>
      <c r="D34" s="123" t="s">
        <v>467</v>
      </c>
      <c r="E34" s="124"/>
      <c r="F34" s="124"/>
      <c r="G34" s="124"/>
    </row>
    <row r="35" spans="1:8" x14ac:dyDescent="0.2">
      <c r="A35" s="18" t="s">
        <v>16</v>
      </c>
      <c r="B35" s="18" t="s">
        <v>8</v>
      </c>
      <c r="C35" s="18" t="s">
        <v>289</v>
      </c>
      <c r="D35" s="111" t="s">
        <v>469</v>
      </c>
      <c r="E35" s="112"/>
      <c r="F35" s="18" t="s">
        <v>781</v>
      </c>
      <c r="G35" s="26">
        <v>1</v>
      </c>
      <c r="H35" s="26">
        <v>0</v>
      </c>
    </row>
    <row r="36" spans="1:8" x14ac:dyDescent="0.2">
      <c r="A36" s="18" t="s">
        <v>17</v>
      </c>
      <c r="B36" s="18" t="s">
        <v>8</v>
      </c>
      <c r="C36" s="18" t="s">
        <v>290</v>
      </c>
      <c r="D36" s="111" t="s">
        <v>470</v>
      </c>
      <c r="E36" s="112"/>
      <c r="F36" s="18" t="s">
        <v>781</v>
      </c>
      <c r="G36" s="26">
        <v>1</v>
      </c>
      <c r="H36" s="26">
        <v>0</v>
      </c>
    </row>
    <row r="37" spans="1:8" x14ac:dyDescent="0.2">
      <c r="A37" s="18" t="s">
        <v>19</v>
      </c>
      <c r="B37" s="18" t="s">
        <v>7</v>
      </c>
      <c r="C37" s="18" t="s">
        <v>292</v>
      </c>
      <c r="D37" s="111" t="s">
        <v>472</v>
      </c>
      <c r="E37" s="112"/>
      <c r="F37" s="18" t="s">
        <v>781</v>
      </c>
      <c r="G37" s="26">
        <v>1</v>
      </c>
      <c r="H37" s="26">
        <v>0</v>
      </c>
    </row>
    <row r="38" spans="1:8" x14ac:dyDescent="0.2">
      <c r="A38" s="18" t="s">
        <v>97</v>
      </c>
      <c r="B38" s="18" t="s">
        <v>8</v>
      </c>
      <c r="C38" s="18" t="s">
        <v>292</v>
      </c>
      <c r="D38" s="111" t="s">
        <v>473</v>
      </c>
      <c r="E38" s="112"/>
      <c r="F38" s="18" t="s">
        <v>781</v>
      </c>
      <c r="G38" s="26">
        <v>1</v>
      </c>
      <c r="H38" s="26">
        <v>0</v>
      </c>
    </row>
    <row r="39" spans="1:8" x14ac:dyDescent="0.2">
      <c r="A39" s="19"/>
      <c r="B39" s="19"/>
      <c r="C39" s="19" t="s">
        <v>13</v>
      </c>
      <c r="D39" s="117" t="s">
        <v>42</v>
      </c>
      <c r="E39" s="118"/>
      <c r="F39" s="19"/>
      <c r="G39" s="27"/>
      <c r="H39" s="27"/>
    </row>
    <row r="40" spans="1:8" x14ac:dyDescent="0.2">
      <c r="A40" s="18" t="s">
        <v>98</v>
      </c>
      <c r="B40" s="18" t="s">
        <v>7</v>
      </c>
      <c r="C40" s="18" t="s">
        <v>293</v>
      </c>
      <c r="D40" s="111" t="s">
        <v>474</v>
      </c>
      <c r="E40" s="112"/>
      <c r="F40" s="18" t="s">
        <v>782</v>
      </c>
      <c r="G40" s="26">
        <v>210.5</v>
      </c>
      <c r="H40" s="26">
        <v>0</v>
      </c>
    </row>
    <row r="41" spans="1:8" x14ac:dyDescent="0.2">
      <c r="A41" s="18" t="s">
        <v>99</v>
      </c>
      <c r="B41" s="18" t="s">
        <v>7</v>
      </c>
      <c r="C41" s="18" t="s">
        <v>294</v>
      </c>
      <c r="D41" s="111" t="s">
        <v>475</v>
      </c>
      <c r="E41" s="112"/>
      <c r="F41" s="18" t="s">
        <v>783</v>
      </c>
      <c r="G41" s="26">
        <v>930</v>
      </c>
      <c r="H41" s="26">
        <v>0</v>
      </c>
    </row>
    <row r="42" spans="1:8" x14ac:dyDescent="0.2">
      <c r="A42" s="18" t="s">
        <v>100</v>
      </c>
      <c r="B42" s="18" t="s">
        <v>7</v>
      </c>
      <c r="C42" s="18" t="s">
        <v>295</v>
      </c>
      <c r="D42" s="111" t="s">
        <v>476</v>
      </c>
      <c r="E42" s="112"/>
      <c r="F42" s="18" t="s">
        <v>783</v>
      </c>
      <c r="G42" s="26">
        <v>930</v>
      </c>
      <c r="H42" s="26">
        <v>0</v>
      </c>
    </row>
    <row r="43" spans="1:8" ht="38.450000000000003" customHeight="1" x14ac:dyDescent="0.2">
      <c r="C43" s="23" t="s">
        <v>296</v>
      </c>
      <c r="D43" s="113" t="s">
        <v>477</v>
      </c>
      <c r="E43" s="114"/>
      <c r="F43" s="114"/>
      <c r="G43" s="114"/>
    </row>
    <row r="44" spans="1:8" x14ac:dyDescent="0.2">
      <c r="A44" s="18" t="s">
        <v>101</v>
      </c>
      <c r="B44" s="18" t="s">
        <v>8</v>
      </c>
      <c r="C44" s="18" t="s">
        <v>293</v>
      </c>
      <c r="D44" s="111" t="s">
        <v>474</v>
      </c>
      <c r="E44" s="112"/>
      <c r="F44" s="18" t="s">
        <v>782</v>
      </c>
      <c r="G44" s="26">
        <v>78</v>
      </c>
      <c r="H44" s="26">
        <v>0</v>
      </c>
    </row>
    <row r="45" spans="1:8" x14ac:dyDescent="0.2">
      <c r="A45" s="18" t="s">
        <v>102</v>
      </c>
      <c r="B45" s="18" t="s">
        <v>8</v>
      </c>
      <c r="C45" s="18" t="s">
        <v>294</v>
      </c>
      <c r="D45" s="111" t="s">
        <v>475</v>
      </c>
      <c r="E45" s="112"/>
      <c r="F45" s="18" t="s">
        <v>783</v>
      </c>
      <c r="G45" s="26">
        <v>390.5</v>
      </c>
      <c r="H45" s="26">
        <v>0</v>
      </c>
    </row>
    <row r="46" spans="1:8" x14ac:dyDescent="0.2">
      <c r="A46" s="18" t="s">
        <v>103</v>
      </c>
      <c r="B46" s="18" t="s">
        <v>8</v>
      </c>
      <c r="C46" s="18" t="s">
        <v>295</v>
      </c>
      <c r="D46" s="111" t="s">
        <v>476</v>
      </c>
      <c r="E46" s="112"/>
      <c r="F46" s="18" t="s">
        <v>783</v>
      </c>
      <c r="G46" s="26">
        <v>390.5</v>
      </c>
      <c r="H46" s="26">
        <v>0</v>
      </c>
    </row>
    <row r="47" spans="1:8" ht="38.450000000000003" customHeight="1" x14ac:dyDescent="0.2">
      <c r="C47" s="23" t="s">
        <v>296</v>
      </c>
      <c r="D47" s="113" t="s">
        <v>477</v>
      </c>
      <c r="E47" s="114"/>
      <c r="F47" s="114"/>
      <c r="G47" s="114"/>
    </row>
    <row r="48" spans="1:8" x14ac:dyDescent="0.2">
      <c r="A48" s="18" t="s">
        <v>104</v>
      </c>
      <c r="B48" s="18" t="s">
        <v>7</v>
      </c>
      <c r="C48" s="18" t="s">
        <v>297</v>
      </c>
      <c r="D48" s="111" t="s">
        <v>478</v>
      </c>
      <c r="E48" s="112"/>
      <c r="F48" s="18" t="s">
        <v>783</v>
      </c>
      <c r="G48" s="26">
        <v>59.25</v>
      </c>
      <c r="H48" s="26">
        <v>0</v>
      </c>
    </row>
    <row r="49" spans="1:8" ht="12.2" customHeight="1" x14ac:dyDescent="0.2">
      <c r="A49" s="18"/>
      <c r="B49" s="18"/>
      <c r="C49" s="18"/>
      <c r="D49" s="115" t="s">
        <v>479</v>
      </c>
      <c r="E49" s="116"/>
      <c r="F49" s="115"/>
      <c r="G49" s="28">
        <v>19.25</v>
      </c>
      <c r="H49" s="32"/>
    </row>
    <row r="50" spans="1:8" ht="12.2" customHeight="1" x14ac:dyDescent="0.2">
      <c r="A50" s="18"/>
      <c r="B50" s="18"/>
      <c r="C50" s="18"/>
      <c r="D50" s="115" t="s">
        <v>480</v>
      </c>
      <c r="E50" s="116"/>
      <c r="F50" s="115"/>
      <c r="G50" s="28">
        <v>40</v>
      </c>
      <c r="H50" s="32"/>
    </row>
    <row r="51" spans="1:8" ht="25.7" customHeight="1" x14ac:dyDescent="0.2">
      <c r="C51" s="23" t="s">
        <v>296</v>
      </c>
      <c r="D51" s="113" t="s">
        <v>481</v>
      </c>
      <c r="E51" s="114"/>
      <c r="F51" s="114"/>
      <c r="G51" s="114"/>
    </row>
    <row r="52" spans="1:8" x14ac:dyDescent="0.2">
      <c r="A52" s="18" t="s">
        <v>20</v>
      </c>
      <c r="B52" s="18" t="s">
        <v>7</v>
      </c>
      <c r="C52" s="18" t="s">
        <v>298</v>
      </c>
      <c r="D52" s="111" t="s">
        <v>482</v>
      </c>
      <c r="E52" s="112"/>
      <c r="F52" s="18" t="s">
        <v>784</v>
      </c>
      <c r="G52" s="26">
        <v>9</v>
      </c>
      <c r="H52" s="26">
        <v>0</v>
      </c>
    </row>
    <row r="53" spans="1:8" x14ac:dyDescent="0.2">
      <c r="A53" s="18" t="s">
        <v>105</v>
      </c>
      <c r="B53" s="18" t="s">
        <v>7</v>
      </c>
      <c r="C53" s="18" t="s">
        <v>299</v>
      </c>
      <c r="D53" s="111" t="s">
        <v>483</v>
      </c>
      <c r="E53" s="112"/>
      <c r="F53" s="18" t="s">
        <v>784</v>
      </c>
      <c r="G53" s="26">
        <v>9</v>
      </c>
      <c r="H53" s="26">
        <v>0</v>
      </c>
    </row>
    <row r="54" spans="1:8" x14ac:dyDescent="0.2">
      <c r="A54" s="19"/>
      <c r="B54" s="19"/>
      <c r="C54" s="19" t="s">
        <v>14</v>
      </c>
      <c r="D54" s="117" t="s">
        <v>43</v>
      </c>
      <c r="E54" s="118"/>
      <c r="F54" s="19"/>
      <c r="G54" s="27"/>
      <c r="H54" s="27"/>
    </row>
    <row r="55" spans="1:8" x14ac:dyDescent="0.2">
      <c r="A55" s="18" t="s">
        <v>106</v>
      </c>
      <c r="B55" s="18" t="s">
        <v>7</v>
      </c>
      <c r="C55" s="18" t="s">
        <v>300</v>
      </c>
      <c r="D55" s="111" t="s">
        <v>484</v>
      </c>
      <c r="E55" s="112"/>
      <c r="F55" s="18" t="s">
        <v>785</v>
      </c>
      <c r="G55" s="26">
        <v>18.25</v>
      </c>
      <c r="H55" s="26">
        <v>0</v>
      </c>
    </row>
    <row r="56" spans="1:8" ht="12.2" customHeight="1" x14ac:dyDescent="0.2">
      <c r="A56" s="18"/>
      <c r="B56" s="18"/>
      <c r="C56" s="18"/>
      <c r="D56" s="115" t="s">
        <v>485</v>
      </c>
      <c r="E56" s="116"/>
      <c r="F56" s="115"/>
      <c r="G56" s="28">
        <v>10.25</v>
      </c>
      <c r="H56" s="32"/>
    </row>
    <row r="57" spans="1:8" ht="12.2" customHeight="1" x14ac:dyDescent="0.2">
      <c r="A57" s="18"/>
      <c r="B57" s="18"/>
      <c r="C57" s="18"/>
      <c r="D57" s="115" t="s">
        <v>486</v>
      </c>
      <c r="E57" s="116"/>
      <c r="F57" s="115"/>
      <c r="G57" s="28">
        <v>8</v>
      </c>
      <c r="H57" s="32"/>
    </row>
    <row r="58" spans="1:8" ht="77.099999999999994" customHeight="1" x14ac:dyDescent="0.2">
      <c r="C58" s="23" t="s">
        <v>296</v>
      </c>
      <c r="D58" s="113" t="s">
        <v>487</v>
      </c>
      <c r="E58" s="114"/>
      <c r="F58" s="114"/>
      <c r="G58" s="114"/>
    </row>
    <row r="59" spans="1:8" ht="77.099999999999994" customHeight="1" x14ac:dyDescent="0.2">
      <c r="D59" s="113" t="s">
        <v>488</v>
      </c>
      <c r="E59" s="114"/>
      <c r="F59" s="114"/>
      <c r="G59" s="114"/>
    </row>
    <row r="60" spans="1:8" ht="77.099999999999994" customHeight="1" x14ac:dyDescent="0.2">
      <c r="D60" s="113" t="s">
        <v>489</v>
      </c>
      <c r="E60" s="114"/>
      <c r="F60" s="114"/>
      <c r="G60" s="114"/>
    </row>
    <row r="61" spans="1:8" ht="25.7" customHeight="1" x14ac:dyDescent="0.2">
      <c r="D61" s="113" t="s">
        <v>490</v>
      </c>
      <c r="E61" s="114"/>
      <c r="F61" s="114"/>
      <c r="G61" s="114"/>
    </row>
    <row r="62" spans="1:8" x14ac:dyDescent="0.2">
      <c r="A62" s="18" t="s">
        <v>107</v>
      </c>
      <c r="B62" s="18" t="s">
        <v>7</v>
      </c>
      <c r="C62" s="18" t="s">
        <v>301</v>
      </c>
      <c r="D62" s="111" t="s">
        <v>491</v>
      </c>
      <c r="E62" s="112"/>
      <c r="F62" s="18" t="s">
        <v>785</v>
      </c>
      <c r="G62" s="26">
        <v>58.05</v>
      </c>
      <c r="H62" s="26">
        <v>0</v>
      </c>
    </row>
    <row r="63" spans="1:8" ht="12.2" customHeight="1" x14ac:dyDescent="0.2">
      <c r="A63" s="18"/>
      <c r="B63" s="18"/>
      <c r="C63" s="18"/>
      <c r="D63" s="115" t="s">
        <v>492</v>
      </c>
      <c r="E63" s="116"/>
      <c r="F63" s="115"/>
      <c r="G63" s="28">
        <v>42.05</v>
      </c>
      <c r="H63" s="32"/>
    </row>
    <row r="64" spans="1:8" ht="12.2" customHeight="1" x14ac:dyDescent="0.2">
      <c r="A64" s="18"/>
      <c r="B64" s="18"/>
      <c r="C64" s="18"/>
      <c r="D64" s="115" t="s">
        <v>493</v>
      </c>
      <c r="E64" s="116"/>
      <c r="F64" s="115"/>
      <c r="G64" s="28">
        <v>16</v>
      </c>
      <c r="H64" s="32"/>
    </row>
    <row r="65" spans="1:8" x14ac:dyDescent="0.2">
      <c r="A65" s="18" t="s">
        <v>108</v>
      </c>
      <c r="B65" s="18" t="s">
        <v>8</v>
      </c>
      <c r="C65" s="18" t="s">
        <v>300</v>
      </c>
      <c r="D65" s="111" t="s">
        <v>484</v>
      </c>
      <c r="E65" s="112"/>
      <c r="F65" s="18" t="s">
        <v>785</v>
      </c>
      <c r="G65" s="26">
        <v>3.35</v>
      </c>
      <c r="H65" s="26">
        <v>0</v>
      </c>
    </row>
    <row r="66" spans="1:8" ht="77.099999999999994" customHeight="1" x14ac:dyDescent="0.2">
      <c r="C66" s="23" t="s">
        <v>296</v>
      </c>
      <c r="D66" s="113" t="s">
        <v>487</v>
      </c>
      <c r="E66" s="114"/>
      <c r="F66" s="114"/>
      <c r="G66" s="114"/>
    </row>
    <row r="67" spans="1:8" ht="77.099999999999994" customHeight="1" x14ac:dyDescent="0.2">
      <c r="D67" s="113" t="s">
        <v>488</v>
      </c>
      <c r="E67" s="114"/>
      <c r="F67" s="114"/>
      <c r="G67" s="114"/>
    </row>
    <row r="68" spans="1:8" ht="77.099999999999994" customHeight="1" x14ac:dyDescent="0.2">
      <c r="D68" s="113" t="s">
        <v>489</v>
      </c>
      <c r="E68" s="114"/>
      <c r="F68" s="114"/>
      <c r="G68" s="114"/>
    </row>
    <row r="69" spans="1:8" ht="25.7" customHeight="1" x14ac:dyDescent="0.2">
      <c r="D69" s="113" t="s">
        <v>490</v>
      </c>
      <c r="E69" s="114"/>
      <c r="F69" s="114"/>
      <c r="G69" s="114"/>
    </row>
    <row r="70" spans="1:8" x14ac:dyDescent="0.2">
      <c r="A70" s="18" t="s">
        <v>109</v>
      </c>
      <c r="B70" s="18" t="s">
        <v>8</v>
      </c>
      <c r="C70" s="18" t="s">
        <v>301</v>
      </c>
      <c r="D70" s="111" t="s">
        <v>491</v>
      </c>
      <c r="E70" s="112"/>
      <c r="F70" s="18" t="s">
        <v>785</v>
      </c>
      <c r="G70" s="26">
        <v>13.75</v>
      </c>
      <c r="H70" s="26">
        <v>0</v>
      </c>
    </row>
    <row r="71" spans="1:8" x14ac:dyDescent="0.2">
      <c r="A71" s="18" t="s">
        <v>110</v>
      </c>
      <c r="B71" s="18" t="s">
        <v>8</v>
      </c>
      <c r="C71" s="18" t="s">
        <v>302</v>
      </c>
      <c r="D71" s="111" t="s">
        <v>494</v>
      </c>
      <c r="E71" s="112"/>
      <c r="F71" s="18" t="s">
        <v>785</v>
      </c>
      <c r="G71" s="26">
        <v>13.75</v>
      </c>
      <c r="H71" s="26">
        <v>0</v>
      </c>
    </row>
    <row r="72" spans="1:8" ht="12.95" customHeight="1" x14ac:dyDescent="0.2">
      <c r="C72" s="23" t="s">
        <v>296</v>
      </c>
      <c r="D72" s="113" t="s">
        <v>495</v>
      </c>
      <c r="E72" s="114"/>
      <c r="F72" s="114"/>
      <c r="G72" s="114"/>
    </row>
    <row r="73" spans="1:8" x14ac:dyDescent="0.2">
      <c r="A73" s="18" t="s">
        <v>21</v>
      </c>
      <c r="B73" s="18" t="s">
        <v>7</v>
      </c>
      <c r="C73" s="18" t="s">
        <v>302</v>
      </c>
      <c r="D73" s="111" t="s">
        <v>494</v>
      </c>
      <c r="E73" s="112"/>
      <c r="F73" s="18" t="s">
        <v>785</v>
      </c>
      <c r="G73" s="26">
        <v>58.05</v>
      </c>
      <c r="H73" s="26">
        <v>0</v>
      </c>
    </row>
    <row r="74" spans="1:8" ht="12.95" customHeight="1" x14ac:dyDescent="0.2">
      <c r="C74" s="23" t="s">
        <v>296</v>
      </c>
      <c r="D74" s="113" t="s">
        <v>495</v>
      </c>
      <c r="E74" s="114"/>
      <c r="F74" s="114"/>
      <c r="G74" s="114"/>
    </row>
    <row r="75" spans="1:8" x14ac:dyDescent="0.2">
      <c r="A75" s="19"/>
      <c r="B75" s="19"/>
      <c r="C75" s="19" t="s">
        <v>15</v>
      </c>
      <c r="D75" s="117" t="s">
        <v>44</v>
      </c>
      <c r="E75" s="118"/>
      <c r="F75" s="19"/>
      <c r="G75" s="27"/>
      <c r="H75" s="27"/>
    </row>
    <row r="76" spans="1:8" x14ac:dyDescent="0.2">
      <c r="A76" s="18" t="s">
        <v>111</v>
      </c>
      <c r="B76" s="18" t="s">
        <v>7</v>
      </c>
      <c r="C76" s="18" t="s">
        <v>303</v>
      </c>
      <c r="D76" s="111" t="s">
        <v>496</v>
      </c>
      <c r="E76" s="112"/>
      <c r="F76" s="18" t="s">
        <v>785</v>
      </c>
      <c r="G76" s="26">
        <v>5.46</v>
      </c>
      <c r="H76" s="26">
        <v>0</v>
      </c>
    </row>
    <row r="77" spans="1:8" ht="12.2" customHeight="1" x14ac:dyDescent="0.2">
      <c r="A77" s="18"/>
      <c r="B77" s="18"/>
      <c r="C77" s="18"/>
      <c r="D77" s="115" t="s">
        <v>497</v>
      </c>
      <c r="E77" s="116"/>
      <c r="F77" s="115"/>
      <c r="G77" s="28">
        <v>1.05</v>
      </c>
      <c r="H77" s="32"/>
    </row>
    <row r="78" spans="1:8" ht="12.2" customHeight="1" x14ac:dyDescent="0.2">
      <c r="A78" s="18"/>
      <c r="B78" s="18"/>
      <c r="C78" s="18"/>
      <c r="D78" s="115" t="s">
        <v>498</v>
      </c>
      <c r="E78" s="116"/>
      <c r="F78" s="115"/>
      <c r="G78" s="28">
        <v>4.41</v>
      </c>
      <c r="H78" s="32"/>
    </row>
    <row r="79" spans="1:8" ht="38.450000000000003" customHeight="1" x14ac:dyDescent="0.2">
      <c r="C79" s="23" t="s">
        <v>296</v>
      </c>
      <c r="D79" s="113" t="s">
        <v>499</v>
      </c>
      <c r="E79" s="114"/>
      <c r="F79" s="114"/>
      <c r="G79" s="114"/>
    </row>
    <row r="80" spans="1:8" x14ac:dyDescent="0.2">
      <c r="A80" s="18" t="s">
        <v>112</v>
      </c>
      <c r="B80" s="18" t="s">
        <v>8</v>
      </c>
      <c r="C80" s="18" t="s">
        <v>304</v>
      </c>
      <c r="D80" s="111" t="s">
        <v>500</v>
      </c>
      <c r="E80" s="112"/>
      <c r="F80" s="18" t="s">
        <v>785</v>
      </c>
      <c r="G80" s="26">
        <v>3.5</v>
      </c>
      <c r="H80" s="26">
        <v>0</v>
      </c>
    </row>
    <row r="81" spans="1:8" ht="12.95" customHeight="1" x14ac:dyDescent="0.2">
      <c r="C81" s="23" t="s">
        <v>296</v>
      </c>
      <c r="D81" s="113" t="s">
        <v>501</v>
      </c>
      <c r="E81" s="114"/>
      <c r="F81" s="114"/>
      <c r="G81" s="114"/>
    </row>
    <row r="82" spans="1:8" x14ac:dyDescent="0.2">
      <c r="A82" s="18" t="s">
        <v>113</v>
      </c>
      <c r="B82" s="18" t="s">
        <v>7</v>
      </c>
      <c r="C82" s="18" t="s">
        <v>305</v>
      </c>
      <c r="D82" s="111" t="s">
        <v>502</v>
      </c>
      <c r="E82" s="112"/>
      <c r="F82" s="18" t="s">
        <v>785</v>
      </c>
      <c r="G82" s="26">
        <v>5.46</v>
      </c>
      <c r="H82" s="26">
        <v>0</v>
      </c>
    </row>
    <row r="83" spans="1:8" ht="12.95" customHeight="1" x14ac:dyDescent="0.2">
      <c r="C83" s="23" t="s">
        <v>296</v>
      </c>
      <c r="D83" s="113" t="s">
        <v>495</v>
      </c>
      <c r="E83" s="114"/>
      <c r="F83" s="114"/>
      <c r="G83" s="114"/>
    </row>
    <row r="84" spans="1:8" x14ac:dyDescent="0.2">
      <c r="A84" s="19"/>
      <c r="B84" s="19"/>
      <c r="C84" s="19" t="s">
        <v>16</v>
      </c>
      <c r="D84" s="117" t="s">
        <v>45</v>
      </c>
      <c r="E84" s="118"/>
      <c r="F84" s="19"/>
      <c r="G84" s="27"/>
      <c r="H84" s="27"/>
    </row>
    <row r="85" spans="1:8" x14ac:dyDescent="0.2">
      <c r="A85" s="18" t="s">
        <v>114</v>
      </c>
      <c r="B85" s="18" t="s">
        <v>7</v>
      </c>
      <c r="C85" s="18" t="s">
        <v>306</v>
      </c>
      <c r="D85" s="111" t="s">
        <v>503</v>
      </c>
      <c r="E85" s="112"/>
      <c r="F85" s="18" t="s">
        <v>785</v>
      </c>
      <c r="G85" s="26">
        <v>160.58000000000001</v>
      </c>
      <c r="H85" s="26">
        <v>0</v>
      </c>
    </row>
    <row r="86" spans="1:8" ht="12.2" customHeight="1" x14ac:dyDescent="0.2">
      <c r="A86" s="18"/>
      <c r="B86" s="18"/>
      <c r="C86" s="18"/>
      <c r="D86" s="115" t="s">
        <v>504</v>
      </c>
      <c r="E86" s="116"/>
      <c r="F86" s="115"/>
      <c r="G86" s="28">
        <v>80.290000000000006</v>
      </c>
      <c r="H86" s="32"/>
    </row>
    <row r="87" spans="1:8" ht="12.2" customHeight="1" x14ac:dyDescent="0.2">
      <c r="A87" s="18"/>
      <c r="B87" s="18"/>
      <c r="C87" s="18"/>
      <c r="D87" s="115" t="s">
        <v>505</v>
      </c>
      <c r="E87" s="116"/>
      <c r="F87" s="115"/>
      <c r="G87" s="28">
        <v>80.290000000000006</v>
      </c>
      <c r="H87" s="32"/>
    </row>
    <row r="88" spans="1:8" x14ac:dyDescent="0.2">
      <c r="A88" s="18" t="s">
        <v>115</v>
      </c>
      <c r="B88" s="18" t="s">
        <v>7</v>
      </c>
      <c r="C88" s="18" t="s">
        <v>307</v>
      </c>
      <c r="D88" s="111" t="s">
        <v>506</v>
      </c>
      <c r="E88" s="112"/>
      <c r="F88" s="18" t="s">
        <v>785</v>
      </c>
      <c r="G88" s="26">
        <v>80.290000000000006</v>
      </c>
      <c r="H88" s="26">
        <v>0</v>
      </c>
    </row>
    <row r="89" spans="1:8" ht="12.2" customHeight="1" x14ac:dyDescent="0.2">
      <c r="A89" s="18"/>
      <c r="B89" s="18"/>
      <c r="C89" s="18"/>
      <c r="D89" s="115" t="s">
        <v>507</v>
      </c>
      <c r="E89" s="116"/>
      <c r="F89" s="115"/>
      <c r="G89" s="28">
        <v>80.290000000000006</v>
      </c>
      <c r="H89" s="32"/>
    </row>
    <row r="90" spans="1:8" x14ac:dyDescent="0.2">
      <c r="A90" s="18" t="s">
        <v>116</v>
      </c>
      <c r="B90" s="18" t="s">
        <v>8</v>
      </c>
      <c r="C90" s="18" t="s">
        <v>306</v>
      </c>
      <c r="D90" s="111" t="s">
        <v>503</v>
      </c>
      <c r="E90" s="112"/>
      <c r="F90" s="18" t="s">
        <v>785</v>
      </c>
      <c r="G90" s="26">
        <v>34.200000000000003</v>
      </c>
      <c r="H90" s="26">
        <v>0</v>
      </c>
    </row>
    <row r="91" spans="1:8" ht="12.2" customHeight="1" x14ac:dyDescent="0.2">
      <c r="A91" s="18"/>
      <c r="B91" s="18"/>
      <c r="C91" s="18"/>
      <c r="D91" s="115" t="s">
        <v>508</v>
      </c>
      <c r="E91" s="116"/>
      <c r="F91" s="115"/>
      <c r="G91" s="28">
        <v>17.100000000000001</v>
      </c>
      <c r="H91" s="32"/>
    </row>
    <row r="92" spans="1:8" ht="12.2" customHeight="1" x14ac:dyDescent="0.2">
      <c r="A92" s="18"/>
      <c r="B92" s="18"/>
      <c r="C92" s="18"/>
      <c r="D92" s="115" t="s">
        <v>509</v>
      </c>
      <c r="E92" s="116"/>
      <c r="F92" s="115"/>
      <c r="G92" s="28">
        <v>17.100000000000001</v>
      </c>
      <c r="H92" s="32"/>
    </row>
    <row r="93" spans="1:8" x14ac:dyDescent="0.2">
      <c r="A93" s="18" t="s">
        <v>117</v>
      </c>
      <c r="B93" s="18" t="s">
        <v>7</v>
      </c>
      <c r="C93" s="18" t="s">
        <v>308</v>
      </c>
      <c r="D93" s="111" t="s">
        <v>510</v>
      </c>
      <c r="E93" s="112"/>
      <c r="F93" s="18" t="s">
        <v>784</v>
      </c>
      <c r="G93" s="26">
        <v>9</v>
      </c>
      <c r="H93" s="26">
        <v>0</v>
      </c>
    </row>
    <row r="94" spans="1:8" x14ac:dyDescent="0.2">
      <c r="A94" s="18" t="s">
        <v>118</v>
      </c>
      <c r="B94" s="18" t="s">
        <v>7</v>
      </c>
      <c r="C94" s="18" t="s">
        <v>309</v>
      </c>
      <c r="D94" s="111" t="s">
        <v>511</v>
      </c>
      <c r="E94" s="112"/>
      <c r="F94" s="18" t="s">
        <v>784</v>
      </c>
      <c r="G94" s="26">
        <v>9</v>
      </c>
      <c r="H94" s="26">
        <v>0</v>
      </c>
    </row>
    <row r="95" spans="1:8" x14ac:dyDescent="0.2">
      <c r="A95" s="18" t="s">
        <v>22</v>
      </c>
      <c r="B95" s="18" t="s">
        <v>7</v>
      </c>
      <c r="C95" s="18" t="s">
        <v>310</v>
      </c>
      <c r="D95" s="111" t="s">
        <v>512</v>
      </c>
      <c r="E95" s="112"/>
      <c r="F95" s="18" t="s">
        <v>784</v>
      </c>
      <c r="G95" s="26">
        <v>9</v>
      </c>
      <c r="H95" s="26">
        <v>0</v>
      </c>
    </row>
    <row r="96" spans="1:8" x14ac:dyDescent="0.2">
      <c r="A96" s="18" t="s">
        <v>119</v>
      </c>
      <c r="B96" s="18" t="s">
        <v>7</v>
      </c>
      <c r="C96" s="18" t="s">
        <v>311</v>
      </c>
      <c r="D96" s="111" t="s">
        <v>513</v>
      </c>
      <c r="E96" s="112"/>
      <c r="F96" s="18" t="s">
        <v>786</v>
      </c>
      <c r="G96" s="26">
        <v>0.98199999999999998</v>
      </c>
      <c r="H96" s="26">
        <v>0</v>
      </c>
    </row>
    <row r="97" spans="1:8" x14ac:dyDescent="0.2">
      <c r="A97" s="18" t="s">
        <v>120</v>
      </c>
      <c r="B97" s="18" t="s">
        <v>8</v>
      </c>
      <c r="C97" s="18" t="s">
        <v>307</v>
      </c>
      <c r="D97" s="111" t="s">
        <v>506</v>
      </c>
      <c r="E97" s="112"/>
      <c r="F97" s="18" t="s">
        <v>785</v>
      </c>
      <c r="G97" s="26">
        <v>17.100000000000001</v>
      </c>
      <c r="H97" s="26">
        <v>0</v>
      </c>
    </row>
    <row r="98" spans="1:8" ht="12.2" customHeight="1" x14ac:dyDescent="0.2">
      <c r="A98" s="18"/>
      <c r="B98" s="18"/>
      <c r="C98" s="18"/>
      <c r="D98" s="115" t="s">
        <v>514</v>
      </c>
      <c r="E98" s="116"/>
      <c r="F98" s="115"/>
      <c r="G98" s="28">
        <v>17.100000000000001</v>
      </c>
      <c r="H98" s="32"/>
    </row>
    <row r="99" spans="1:8" x14ac:dyDescent="0.2">
      <c r="A99" s="19"/>
      <c r="B99" s="19"/>
      <c r="C99" s="19" t="s">
        <v>17</v>
      </c>
      <c r="D99" s="117" t="s">
        <v>46</v>
      </c>
      <c r="E99" s="118"/>
      <c r="F99" s="19"/>
      <c r="G99" s="27"/>
      <c r="H99" s="27"/>
    </row>
    <row r="100" spans="1:8" x14ac:dyDescent="0.2">
      <c r="A100" s="18" t="s">
        <v>121</v>
      </c>
      <c r="B100" s="18" t="s">
        <v>8</v>
      </c>
      <c r="C100" s="18" t="s">
        <v>312</v>
      </c>
      <c r="D100" s="111" t="s">
        <v>515</v>
      </c>
      <c r="E100" s="112"/>
      <c r="F100" s="18" t="s">
        <v>785</v>
      </c>
      <c r="G100" s="26">
        <v>12</v>
      </c>
      <c r="H100" s="26">
        <v>0</v>
      </c>
    </row>
    <row r="101" spans="1:8" ht="25.7" customHeight="1" x14ac:dyDescent="0.2">
      <c r="C101" s="23" t="s">
        <v>296</v>
      </c>
      <c r="D101" s="113" t="s">
        <v>516</v>
      </c>
      <c r="E101" s="114"/>
      <c r="F101" s="114"/>
      <c r="G101" s="114"/>
    </row>
    <row r="102" spans="1:8" x14ac:dyDescent="0.2">
      <c r="A102" s="20" t="s">
        <v>122</v>
      </c>
      <c r="B102" s="20" t="s">
        <v>8</v>
      </c>
      <c r="C102" s="20" t="s">
        <v>313</v>
      </c>
      <c r="D102" s="121" t="s">
        <v>517</v>
      </c>
      <c r="E102" s="122"/>
      <c r="F102" s="20" t="s">
        <v>786</v>
      </c>
      <c r="G102" s="29">
        <v>1.92</v>
      </c>
      <c r="H102" s="29">
        <v>0</v>
      </c>
    </row>
    <row r="103" spans="1:8" ht="12.2" customHeight="1" x14ac:dyDescent="0.2">
      <c r="A103" s="20"/>
      <c r="B103" s="20"/>
      <c r="C103" s="20"/>
      <c r="D103" s="119" t="s">
        <v>518</v>
      </c>
      <c r="E103" s="120"/>
      <c r="F103" s="119"/>
      <c r="G103" s="30">
        <v>1.92</v>
      </c>
      <c r="H103" s="33"/>
    </row>
    <row r="104" spans="1:8" x14ac:dyDescent="0.2">
      <c r="A104" s="18" t="s">
        <v>123</v>
      </c>
      <c r="B104" s="18" t="s">
        <v>7</v>
      </c>
      <c r="C104" s="18" t="s">
        <v>314</v>
      </c>
      <c r="D104" s="111" t="s">
        <v>519</v>
      </c>
      <c r="E104" s="112"/>
      <c r="F104" s="18" t="s">
        <v>784</v>
      </c>
      <c r="G104" s="26">
        <v>9</v>
      </c>
      <c r="H104" s="26">
        <v>0</v>
      </c>
    </row>
    <row r="105" spans="1:8" x14ac:dyDescent="0.2">
      <c r="A105" s="18" t="s">
        <v>124</v>
      </c>
      <c r="B105" s="18" t="s">
        <v>7</v>
      </c>
      <c r="C105" s="18" t="s">
        <v>312</v>
      </c>
      <c r="D105" s="111" t="s">
        <v>515</v>
      </c>
      <c r="E105" s="112"/>
      <c r="F105" s="18" t="s">
        <v>785</v>
      </c>
      <c r="G105" s="26">
        <v>201.2</v>
      </c>
      <c r="H105" s="26">
        <v>0</v>
      </c>
    </row>
    <row r="106" spans="1:8" ht="12.2" customHeight="1" x14ac:dyDescent="0.2">
      <c r="A106" s="18"/>
      <c r="B106" s="18"/>
      <c r="C106" s="18"/>
      <c r="D106" s="115" t="s">
        <v>520</v>
      </c>
      <c r="E106" s="116"/>
      <c r="F106" s="115"/>
      <c r="G106" s="28">
        <v>25.5</v>
      </c>
      <c r="H106" s="32"/>
    </row>
    <row r="107" spans="1:8" ht="12.2" customHeight="1" x14ac:dyDescent="0.2">
      <c r="A107" s="18"/>
      <c r="B107" s="18"/>
      <c r="C107" s="18"/>
      <c r="D107" s="115" t="s">
        <v>521</v>
      </c>
      <c r="E107" s="116"/>
      <c r="F107" s="115"/>
      <c r="G107" s="28">
        <v>172.5</v>
      </c>
      <c r="H107" s="32"/>
    </row>
    <row r="108" spans="1:8" ht="12.2" customHeight="1" x14ac:dyDescent="0.2">
      <c r="A108" s="18"/>
      <c r="B108" s="18"/>
      <c r="C108" s="18"/>
      <c r="D108" s="115" t="s">
        <v>522</v>
      </c>
      <c r="E108" s="116"/>
      <c r="F108" s="115"/>
      <c r="G108" s="28">
        <v>3.2</v>
      </c>
      <c r="H108" s="32"/>
    </row>
    <row r="109" spans="1:8" ht="25.7" customHeight="1" x14ac:dyDescent="0.2">
      <c r="C109" s="23" t="s">
        <v>296</v>
      </c>
      <c r="D109" s="113" t="s">
        <v>516</v>
      </c>
      <c r="E109" s="114"/>
      <c r="F109" s="114"/>
      <c r="G109" s="114"/>
    </row>
    <row r="110" spans="1:8" x14ac:dyDescent="0.2">
      <c r="A110" s="20" t="s">
        <v>125</v>
      </c>
      <c r="B110" s="20" t="s">
        <v>7</v>
      </c>
      <c r="C110" s="20" t="s">
        <v>313</v>
      </c>
      <c r="D110" s="121" t="s">
        <v>517</v>
      </c>
      <c r="E110" s="122"/>
      <c r="F110" s="20" t="s">
        <v>786</v>
      </c>
      <c r="G110" s="29">
        <v>216.096</v>
      </c>
      <c r="H110" s="29">
        <v>0</v>
      </c>
    </row>
    <row r="111" spans="1:8" ht="12.2" customHeight="1" x14ac:dyDescent="0.2">
      <c r="A111" s="20"/>
      <c r="B111" s="20"/>
      <c r="C111" s="20"/>
      <c r="D111" s="119" t="s">
        <v>523</v>
      </c>
      <c r="E111" s="120"/>
      <c r="F111" s="119"/>
      <c r="G111" s="30">
        <v>216.096</v>
      </c>
      <c r="H111" s="33"/>
    </row>
    <row r="112" spans="1:8" x14ac:dyDescent="0.2">
      <c r="A112" s="19"/>
      <c r="B112" s="19"/>
      <c r="C112" s="19" t="s">
        <v>18</v>
      </c>
      <c r="D112" s="117" t="s">
        <v>47</v>
      </c>
      <c r="E112" s="118"/>
      <c r="F112" s="19"/>
      <c r="G112" s="27"/>
      <c r="H112" s="27"/>
    </row>
    <row r="113" spans="1:8" x14ac:dyDescent="0.2">
      <c r="A113" s="18" t="s">
        <v>126</v>
      </c>
      <c r="B113" s="18" t="s">
        <v>7</v>
      </c>
      <c r="C113" s="18" t="s">
        <v>315</v>
      </c>
      <c r="D113" s="111" t="s">
        <v>524</v>
      </c>
      <c r="E113" s="112"/>
      <c r="F113" s="18" t="s">
        <v>783</v>
      </c>
      <c r="G113" s="26">
        <v>55.5</v>
      </c>
      <c r="H113" s="26">
        <v>0</v>
      </c>
    </row>
    <row r="114" spans="1:8" ht="12.2" customHeight="1" x14ac:dyDescent="0.2">
      <c r="A114" s="18"/>
      <c r="B114" s="18"/>
      <c r="C114" s="18"/>
      <c r="D114" s="115" t="s">
        <v>525</v>
      </c>
      <c r="E114" s="116"/>
      <c r="F114" s="115"/>
      <c r="G114" s="28">
        <v>55.5</v>
      </c>
      <c r="H114" s="32"/>
    </row>
    <row r="115" spans="1:8" ht="25.7" customHeight="1" x14ac:dyDescent="0.2">
      <c r="C115" s="23" t="s">
        <v>296</v>
      </c>
      <c r="D115" s="113" t="s">
        <v>526</v>
      </c>
      <c r="E115" s="114"/>
      <c r="F115" s="114"/>
      <c r="G115" s="114"/>
    </row>
    <row r="116" spans="1:8" x14ac:dyDescent="0.2">
      <c r="A116" s="19"/>
      <c r="B116" s="19"/>
      <c r="C116" s="19" t="s">
        <v>19</v>
      </c>
      <c r="D116" s="117" t="s">
        <v>48</v>
      </c>
      <c r="E116" s="118"/>
      <c r="F116" s="19"/>
      <c r="G116" s="27"/>
      <c r="H116" s="27"/>
    </row>
    <row r="117" spans="1:8" x14ac:dyDescent="0.2">
      <c r="A117" s="18" t="s">
        <v>127</v>
      </c>
      <c r="B117" s="18" t="s">
        <v>7</v>
      </c>
      <c r="C117" s="18" t="s">
        <v>316</v>
      </c>
      <c r="D117" s="111" t="s">
        <v>527</v>
      </c>
      <c r="E117" s="112"/>
      <c r="F117" s="18" t="s">
        <v>783</v>
      </c>
      <c r="G117" s="26">
        <v>2155</v>
      </c>
      <c r="H117" s="26">
        <v>0</v>
      </c>
    </row>
    <row r="118" spans="1:8" ht="12.2" customHeight="1" x14ac:dyDescent="0.2">
      <c r="A118" s="18"/>
      <c r="B118" s="18"/>
      <c r="C118" s="18"/>
      <c r="D118" s="115" t="s">
        <v>528</v>
      </c>
      <c r="E118" s="116"/>
      <c r="F118" s="115"/>
      <c r="G118" s="28">
        <v>2025</v>
      </c>
      <c r="H118" s="32"/>
    </row>
    <row r="119" spans="1:8" ht="12.2" customHeight="1" x14ac:dyDescent="0.2">
      <c r="A119" s="18"/>
      <c r="B119" s="18"/>
      <c r="C119" s="18"/>
      <c r="D119" s="115" t="s">
        <v>529</v>
      </c>
      <c r="E119" s="116"/>
      <c r="F119" s="115"/>
      <c r="G119" s="28">
        <v>130</v>
      </c>
      <c r="H119" s="32"/>
    </row>
    <row r="120" spans="1:8" ht="12.95" customHeight="1" x14ac:dyDescent="0.2">
      <c r="C120" s="23" t="s">
        <v>296</v>
      </c>
      <c r="D120" s="113" t="s">
        <v>530</v>
      </c>
      <c r="E120" s="114"/>
      <c r="F120" s="114"/>
      <c r="G120" s="114"/>
    </row>
    <row r="121" spans="1:8" x14ac:dyDescent="0.2">
      <c r="A121" s="18" t="s">
        <v>128</v>
      </c>
      <c r="B121" s="18" t="s">
        <v>7</v>
      </c>
      <c r="C121" s="18" t="s">
        <v>317</v>
      </c>
      <c r="D121" s="111" t="s">
        <v>531</v>
      </c>
      <c r="E121" s="112"/>
      <c r="F121" s="18" t="s">
        <v>783</v>
      </c>
      <c r="G121" s="26">
        <v>2914</v>
      </c>
      <c r="H121" s="26">
        <v>0</v>
      </c>
    </row>
    <row r="122" spans="1:8" ht="12.2" customHeight="1" x14ac:dyDescent="0.2">
      <c r="A122" s="18"/>
      <c r="B122" s="18"/>
      <c r="C122" s="18"/>
      <c r="D122" s="115" t="s">
        <v>528</v>
      </c>
      <c r="E122" s="116"/>
      <c r="F122" s="115"/>
      <c r="G122" s="28">
        <v>2025</v>
      </c>
      <c r="H122" s="32"/>
    </row>
    <row r="123" spans="1:8" ht="12.2" customHeight="1" x14ac:dyDescent="0.2">
      <c r="A123" s="18"/>
      <c r="B123" s="18"/>
      <c r="C123" s="18"/>
      <c r="D123" s="115" t="s">
        <v>529</v>
      </c>
      <c r="E123" s="116"/>
      <c r="F123" s="115"/>
      <c r="G123" s="28">
        <v>130</v>
      </c>
      <c r="H123" s="32"/>
    </row>
    <row r="124" spans="1:8" ht="12.2" customHeight="1" x14ac:dyDescent="0.2">
      <c r="A124" s="18"/>
      <c r="B124" s="18"/>
      <c r="C124" s="18"/>
      <c r="D124" s="115" t="s">
        <v>532</v>
      </c>
      <c r="E124" s="116"/>
      <c r="F124" s="115"/>
      <c r="G124" s="28">
        <v>33.5</v>
      </c>
      <c r="H124" s="32"/>
    </row>
    <row r="125" spans="1:8" ht="12.2" customHeight="1" x14ac:dyDescent="0.2">
      <c r="A125" s="18"/>
      <c r="B125" s="18"/>
      <c r="C125" s="18"/>
      <c r="D125" s="115" t="s">
        <v>533</v>
      </c>
      <c r="E125" s="116"/>
      <c r="F125" s="115"/>
      <c r="G125" s="28">
        <v>107</v>
      </c>
      <c r="H125" s="32"/>
    </row>
    <row r="126" spans="1:8" ht="12.2" customHeight="1" x14ac:dyDescent="0.2">
      <c r="A126" s="18"/>
      <c r="B126" s="18"/>
      <c r="C126" s="18"/>
      <c r="D126" s="115" t="s">
        <v>534</v>
      </c>
      <c r="E126" s="116"/>
      <c r="F126" s="115"/>
      <c r="G126" s="28">
        <v>206.95</v>
      </c>
      <c r="H126" s="32"/>
    </row>
    <row r="127" spans="1:8" ht="12.2" customHeight="1" x14ac:dyDescent="0.2">
      <c r="A127" s="18"/>
      <c r="B127" s="18"/>
      <c r="C127" s="18"/>
      <c r="D127" s="115" t="s">
        <v>535</v>
      </c>
      <c r="E127" s="116"/>
      <c r="F127" s="115"/>
      <c r="G127" s="28">
        <v>204.3</v>
      </c>
      <c r="H127" s="32"/>
    </row>
    <row r="128" spans="1:8" ht="12.2" customHeight="1" x14ac:dyDescent="0.2">
      <c r="A128" s="18"/>
      <c r="B128" s="18"/>
      <c r="C128" s="18"/>
      <c r="D128" s="115" t="s">
        <v>536</v>
      </c>
      <c r="E128" s="116"/>
      <c r="F128" s="115"/>
      <c r="G128" s="28">
        <v>207.25</v>
      </c>
      <c r="H128" s="32"/>
    </row>
    <row r="129" spans="1:8" x14ac:dyDescent="0.2">
      <c r="A129" s="18" t="s">
        <v>129</v>
      </c>
      <c r="B129" s="18" t="s">
        <v>7</v>
      </c>
      <c r="C129" s="18" t="s">
        <v>318</v>
      </c>
      <c r="D129" s="111" t="s">
        <v>537</v>
      </c>
      <c r="E129" s="112"/>
      <c r="F129" s="18" t="s">
        <v>783</v>
      </c>
      <c r="G129" s="26">
        <v>2914</v>
      </c>
      <c r="H129" s="26">
        <v>0</v>
      </c>
    </row>
    <row r="130" spans="1:8" ht="12.2" customHeight="1" x14ac:dyDescent="0.2">
      <c r="A130" s="18"/>
      <c r="B130" s="18"/>
      <c r="C130" s="18"/>
      <c r="D130" s="115" t="s">
        <v>528</v>
      </c>
      <c r="E130" s="116"/>
      <c r="F130" s="115"/>
      <c r="G130" s="28">
        <v>2025</v>
      </c>
      <c r="H130" s="32"/>
    </row>
    <row r="131" spans="1:8" ht="12.2" customHeight="1" x14ac:dyDescent="0.2">
      <c r="A131" s="18"/>
      <c r="B131" s="18"/>
      <c r="C131" s="18"/>
      <c r="D131" s="115" t="s">
        <v>529</v>
      </c>
      <c r="E131" s="116"/>
      <c r="F131" s="115"/>
      <c r="G131" s="28">
        <v>130</v>
      </c>
      <c r="H131" s="32"/>
    </row>
    <row r="132" spans="1:8" ht="12.2" customHeight="1" x14ac:dyDescent="0.2">
      <c r="A132" s="18"/>
      <c r="B132" s="18"/>
      <c r="C132" s="18"/>
      <c r="D132" s="115" t="s">
        <v>532</v>
      </c>
      <c r="E132" s="116"/>
      <c r="F132" s="115"/>
      <c r="G132" s="28">
        <v>33.5</v>
      </c>
      <c r="H132" s="32"/>
    </row>
    <row r="133" spans="1:8" ht="12.2" customHeight="1" x14ac:dyDescent="0.2">
      <c r="A133" s="18"/>
      <c r="B133" s="18"/>
      <c r="C133" s="18"/>
      <c r="D133" s="115" t="s">
        <v>533</v>
      </c>
      <c r="E133" s="116"/>
      <c r="F133" s="115"/>
      <c r="G133" s="28">
        <v>107</v>
      </c>
      <c r="H133" s="32"/>
    </row>
    <row r="134" spans="1:8" ht="12.2" customHeight="1" x14ac:dyDescent="0.2">
      <c r="A134" s="18"/>
      <c r="B134" s="18"/>
      <c r="C134" s="18"/>
      <c r="D134" s="115" t="s">
        <v>534</v>
      </c>
      <c r="E134" s="116"/>
      <c r="F134" s="115"/>
      <c r="G134" s="28">
        <v>206.95</v>
      </c>
      <c r="H134" s="32"/>
    </row>
    <row r="135" spans="1:8" ht="12.2" customHeight="1" x14ac:dyDescent="0.2">
      <c r="A135" s="18"/>
      <c r="B135" s="18"/>
      <c r="C135" s="18"/>
      <c r="D135" s="115" t="s">
        <v>535</v>
      </c>
      <c r="E135" s="116"/>
      <c r="F135" s="115"/>
      <c r="G135" s="28">
        <v>204.3</v>
      </c>
      <c r="H135" s="32"/>
    </row>
    <row r="136" spans="1:8" ht="12.2" customHeight="1" x14ac:dyDescent="0.2">
      <c r="A136" s="18"/>
      <c r="B136" s="18"/>
      <c r="C136" s="18"/>
      <c r="D136" s="115" t="s">
        <v>536</v>
      </c>
      <c r="E136" s="116"/>
      <c r="F136" s="115"/>
      <c r="G136" s="28">
        <v>207.25</v>
      </c>
      <c r="H136" s="32"/>
    </row>
    <row r="137" spans="1:8" x14ac:dyDescent="0.2">
      <c r="A137" s="20" t="s">
        <v>130</v>
      </c>
      <c r="B137" s="20" t="s">
        <v>7</v>
      </c>
      <c r="C137" s="20" t="s">
        <v>319</v>
      </c>
      <c r="D137" s="121" t="s">
        <v>538</v>
      </c>
      <c r="E137" s="122"/>
      <c r="F137" s="20" t="s">
        <v>787</v>
      </c>
      <c r="G137" s="29">
        <v>64.650000000000006</v>
      </c>
      <c r="H137" s="29">
        <v>0</v>
      </c>
    </row>
    <row r="138" spans="1:8" ht="12.2" customHeight="1" x14ac:dyDescent="0.2">
      <c r="A138" s="20"/>
      <c r="B138" s="20"/>
      <c r="C138" s="20"/>
      <c r="D138" s="119" t="s">
        <v>539</v>
      </c>
      <c r="E138" s="120"/>
      <c r="F138" s="119"/>
      <c r="G138" s="30">
        <v>60.75</v>
      </c>
      <c r="H138" s="33"/>
    </row>
    <row r="139" spans="1:8" ht="12.2" customHeight="1" x14ac:dyDescent="0.2">
      <c r="A139" s="20"/>
      <c r="B139" s="20"/>
      <c r="C139" s="20"/>
      <c r="D139" s="119" t="s">
        <v>540</v>
      </c>
      <c r="E139" s="120"/>
      <c r="F139" s="119"/>
      <c r="G139" s="30">
        <v>3.9</v>
      </c>
      <c r="H139" s="33"/>
    </row>
    <row r="140" spans="1:8" ht="12.95" customHeight="1" x14ac:dyDescent="0.2">
      <c r="C140" s="23" t="s">
        <v>296</v>
      </c>
      <c r="D140" s="113" t="s">
        <v>541</v>
      </c>
      <c r="E140" s="114"/>
      <c r="F140" s="114"/>
      <c r="G140" s="114"/>
    </row>
    <row r="141" spans="1:8" x14ac:dyDescent="0.2">
      <c r="A141" s="20" t="s">
        <v>23</v>
      </c>
      <c r="B141" s="20" t="s">
        <v>7</v>
      </c>
      <c r="C141" s="20" t="s">
        <v>320</v>
      </c>
      <c r="D141" s="121" t="s">
        <v>542</v>
      </c>
      <c r="E141" s="122"/>
      <c r="F141" s="20" t="s">
        <v>788</v>
      </c>
      <c r="G141" s="29">
        <v>29.14</v>
      </c>
      <c r="H141" s="29">
        <v>0</v>
      </c>
    </row>
    <row r="142" spans="1:8" ht="12.2" customHeight="1" x14ac:dyDescent="0.2">
      <c r="A142" s="20"/>
      <c r="B142" s="20"/>
      <c r="C142" s="20"/>
      <c r="D142" s="119" t="s">
        <v>543</v>
      </c>
      <c r="E142" s="120"/>
      <c r="F142" s="119"/>
      <c r="G142" s="30">
        <v>20.25</v>
      </c>
      <c r="H142" s="33"/>
    </row>
    <row r="143" spans="1:8" ht="12.2" customHeight="1" x14ac:dyDescent="0.2">
      <c r="A143" s="20"/>
      <c r="B143" s="20"/>
      <c r="C143" s="20"/>
      <c r="D143" s="119" t="s">
        <v>544</v>
      </c>
      <c r="E143" s="120"/>
      <c r="F143" s="119"/>
      <c r="G143" s="30">
        <v>1.3</v>
      </c>
      <c r="H143" s="33"/>
    </row>
    <row r="144" spans="1:8" ht="12.2" customHeight="1" x14ac:dyDescent="0.2">
      <c r="A144" s="20"/>
      <c r="B144" s="20"/>
      <c r="C144" s="20"/>
      <c r="D144" s="119" t="s">
        <v>545</v>
      </c>
      <c r="E144" s="120"/>
      <c r="F144" s="119"/>
      <c r="G144" s="30">
        <v>0.33500000000000002</v>
      </c>
      <c r="H144" s="33"/>
    </row>
    <row r="145" spans="1:8" ht="12.2" customHeight="1" x14ac:dyDescent="0.2">
      <c r="A145" s="20"/>
      <c r="B145" s="20"/>
      <c r="C145" s="20"/>
      <c r="D145" s="119" t="s">
        <v>546</v>
      </c>
      <c r="E145" s="120"/>
      <c r="F145" s="119"/>
      <c r="G145" s="30">
        <v>1.07</v>
      </c>
      <c r="H145" s="33"/>
    </row>
    <row r="146" spans="1:8" ht="12.2" customHeight="1" x14ac:dyDescent="0.2">
      <c r="A146" s="20"/>
      <c r="B146" s="20"/>
      <c r="C146" s="20"/>
      <c r="D146" s="119" t="s">
        <v>547</v>
      </c>
      <c r="E146" s="120"/>
      <c r="F146" s="119"/>
      <c r="G146" s="30">
        <v>2.0695000000000001</v>
      </c>
      <c r="H146" s="33"/>
    </row>
    <row r="147" spans="1:8" ht="12.2" customHeight="1" x14ac:dyDescent="0.2">
      <c r="A147" s="20"/>
      <c r="B147" s="20"/>
      <c r="C147" s="20"/>
      <c r="D147" s="119" t="s">
        <v>548</v>
      </c>
      <c r="E147" s="120"/>
      <c r="F147" s="119"/>
      <c r="G147" s="30">
        <v>2.0430000000000001</v>
      </c>
      <c r="H147" s="33"/>
    </row>
    <row r="148" spans="1:8" ht="12.2" customHeight="1" x14ac:dyDescent="0.2">
      <c r="A148" s="20"/>
      <c r="B148" s="20"/>
      <c r="C148" s="20"/>
      <c r="D148" s="119" t="s">
        <v>549</v>
      </c>
      <c r="E148" s="120"/>
      <c r="F148" s="119"/>
      <c r="G148" s="30">
        <v>2.0724999999999998</v>
      </c>
      <c r="H148" s="33"/>
    </row>
    <row r="149" spans="1:8" x14ac:dyDescent="0.2">
      <c r="A149" s="18" t="s">
        <v>24</v>
      </c>
      <c r="B149" s="18" t="s">
        <v>8</v>
      </c>
      <c r="C149" s="18" t="s">
        <v>321</v>
      </c>
      <c r="D149" s="111" t="s">
        <v>550</v>
      </c>
      <c r="E149" s="112"/>
      <c r="F149" s="18" t="s">
        <v>783</v>
      </c>
      <c r="G149" s="26">
        <v>40</v>
      </c>
      <c r="H149" s="26">
        <v>0</v>
      </c>
    </row>
    <row r="150" spans="1:8" ht="12.95" customHeight="1" x14ac:dyDescent="0.2">
      <c r="C150" s="23" t="s">
        <v>296</v>
      </c>
      <c r="D150" s="113" t="s">
        <v>551</v>
      </c>
      <c r="E150" s="114"/>
      <c r="F150" s="114"/>
      <c r="G150" s="114"/>
    </row>
    <row r="151" spans="1:8" x14ac:dyDescent="0.2">
      <c r="A151" s="20" t="s">
        <v>131</v>
      </c>
      <c r="B151" s="20" t="s">
        <v>8</v>
      </c>
      <c r="C151" s="20" t="s">
        <v>322</v>
      </c>
      <c r="D151" s="121" t="s">
        <v>552</v>
      </c>
      <c r="E151" s="122"/>
      <c r="F151" s="20" t="s">
        <v>785</v>
      </c>
      <c r="G151" s="29">
        <v>0.5</v>
      </c>
      <c r="H151" s="29">
        <v>0</v>
      </c>
    </row>
    <row r="152" spans="1:8" ht="12.2" customHeight="1" x14ac:dyDescent="0.2">
      <c r="A152" s="20"/>
      <c r="B152" s="20"/>
      <c r="C152" s="20"/>
      <c r="D152" s="119" t="s">
        <v>553</v>
      </c>
      <c r="E152" s="120"/>
      <c r="F152" s="119"/>
      <c r="G152" s="30">
        <v>0.5</v>
      </c>
      <c r="H152" s="33"/>
    </row>
    <row r="153" spans="1:8" ht="38.450000000000003" customHeight="1" x14ac:dyDescent="0.2">
      <c r="C153" s="23" t="s">
        <v>296</v>
      </c>
      <c r="D153" s="113" t="s">
        <v>554</v>
      </c>
      <c r="E153" s="114"/>
      <c r="F153" s="114"/>
      <c r="G153" s="114"/>
    </row>
    <row r="154" spans="1:8" x14ac:dyDescent="0.2">
      <c r="A154" s="18" t="s">
        <v>25</v>
      </c>
      <c r="B154" s="18" t="s">
        <v>8</v>
      </c>
      <c r="C154" s="18" t="s">
        <v>316</v>
      </c>
      <c r="D154" s="111" t="s">
        <v>527</v>
      </c>
      <c r="E154" s="112"/>
      <c r="F154" s="18" t="s">
        <v>783</v>
      </c>
      <c r="G154" s="26">
        <v>40</v>
      </c>
      <c r="H154" s="26">
        <v>0</v>
      </c>
    </row>
    <row r="155" spans="1:8" ht="12.95" customHeight="1" x14ac:dyDescent="0.2">
      <c r="C155" s="23" t="s">
        <v>296</v>
      </c>
      <c r="D155" s="113" t="s">
        <v>530</v>
      </c>
      <c r="E155" s="114"/>
      <c r="F155" s="114"/>
      <c r="G155" s="114"/>
    </row>
    <row r="156" spans="1:8" x14ac:dyDescent="0.2">
      <c r="A156" s="18" t="s">
        <v>132</v>
      </c>
      <c r="B156" s="18" t="s">
        <v>8</v>
      </c>
      <c r="C156" s="18" t="s">
        <v>317</v>
      </c>
      <c r="D156" s="111" t="s">
        <v>531</v>
      </c>
      <c r="E156" s="112"/>
      <c r="F156" s="18" t="s">
        <v>783</v>
      </c>
      <c r="G156" s="26">
        <v>40</v>
      </c>
      <c r="H156" s="26">
        <v>0</v>
      </c>
    </row>
    <row r="157" spans="1:8" x14ac:dyDescent="0.2">
      <c r="A157" s="18" t="s">
        <v>133</v>
      </c>
      <c r="B157" s="18" t="s">
        <v>8</v>
      </c>
      <c r="C157" s="18" t="s">
        <v>318</v>
      </c>
      <c r="D157" s="111" t="s">
        <v>537</v>
      </c>
      <c r="E157" s="112"/>
      <c r="F157" s="18" t="s">
        <v>783</v>
      </c>
      <c r="G157" s="26">
        <v>40</v>
      </c>
      <c r="H157" s="26">
        <v>0</v>
      </c>
    </row>
    <row r="158" spans="1:8" x14ac:dyDescent="0.2">
      <c r="A158" s="20" t="s">
        <v>134</v>
      </c>
      <c r="B158" s="20" t="s">
        <v>8</v>
      </c>
      <c r="C158" s="20" t="s">
        <v>319</v>
      </c>
      <c r="D158" s="121" t="s">
        <v>538</v>
      </c>
      <c r="E158" s="122"/>
      <c r="F158" s="20" t="s">
        <v>787</v>
      </c>
      <c r="G158" s="29">
        <v>1.2</v>
      </c>
      <c r="H158" s="29">
        <v>0</v>
      </c>
    </row>
    <row r="159" spans="1:8" ht="12.2" customHeight="1" x14ac:dyDescent="0.2">
      <c r="A159" s="20"/>
      <c r="B159" s="20"/>
      <c r="C159" s="20"/>
      <c r="D159" s="119" t="s">
        <v>555</v>
      </c>
      <c r="E159" s="120"/>
      <c r="F159" s="119"/>
      <c r="G159" s="30">
        <v>1.2</v>
      </c>
      <c r="H159" s="33"/>
    </row>
    <row r="160" spans="1:8" ht="12.95" customHeight="1" x14ac:dyDescent="0.2">
      <c r="C160" s="23" t="s">
        <v>296</v>
      </c>
      <c r="D160" s="113" t="s">
        <v>541</v>
      </c>
      <c r="E160" s="114"/>
      <c r="F160" s="114"/>
      <c r="G160" s="114"/>
    </row>
    <row r="161" spans="1:8" x14ac:dyDescent="0.2">
      <c r="A161" s="20" t="s">
        <v>26</v>
      </c>
      <c r="B161" s="20" t="s">
        <v>8</v>
      </c>
      <c r="C161" s="20" t="s">
        <v>320</v>
      </c>
      <c r="D161" s="121" t="s">
        <v>542</v>
      </c>
      <c r="E161" s="122"/>
      <c r="F161" s="20" t="s">
        <v>788</v>
      </c>
      <c r="G161" s="29">
        <v>0.4</v>
      </c>
      <c r="H161" s="29">
        <v>0</v>
      </c>
    </row>
    <row r="162" spans="1:8" ht="12.2" customHeight="1" x14ac:dyDescent="0.2">
      <c r="A162" s="20"/>
      <c r="B162" s="20"/>
      <c r="C162" s="20"/>
      <c r="D162" s="119" t="s">
        <v>556</v>
      </c>
      <c r="E162" s="120"/>
      <c r="F162" s="119"/>
      <c r="G162" s="30">
        <v>0.4</v>
      </c>
      <c r="H162" s="33"/>
    </row>
    <row r="163" spans="1:8" x14ac:dyDescent="0.2">
      <c r="A163" s="18" t="s">
        <v>135</v>
      </c>
      <c r="B163" s="18" t="s">
        <v>7</v>
      </c>
      <c r="C163" s="18" t="s">
        <v>321</v>
      </c>
      <c r="D163" s="111" t="s">
        <v>550</v>
      </c>
      <c r="E163" s="112"/>
      <c r="F163" s="18" t="s">
        <v>783</v>
      </c>
      <c r="G163" s="26">
        <v>430</v>
      </c>
      <c r="H163" s="26">
        <v>0</v>
      </c>
    </row>
    <row r="164" spans="1:8" ht="12.2" customHeight="1" x14ac:dyDescent="0.2">
      <c r="A164" s="18"/>
      <c r="B164" s="18"/>
      <c r="C164" s="18"/>
      <c r="D164" s="115" t="s">
        <v>557</v>
      </c>
      <c r="E164" s="116"/>
      <c r="F164" s="115"/>
      <c r="G164" s="28">
        <v>85</v>
      </c>
      <c r="H164" s="32"/>
    </row>
    <row r="165" spans="1:8" ht="12.2" customHeight="1" x14ac:dyDescent="0.2">
      <c r="A165" s="18"/>
      <c r="B165" s="18"/>
      <c r="C165" s="18"/>
      <c r="D165" s="115" t="s">
        <v>558</v>
      </c>
      <c r="E165" s="116"/>
      <c r="F165" s="115"/>
      <c r="G165" s="28">
        <v>345</v>
      </c>
      <c r="H165" s="32"/>
    </row>
    <row r="166" spans="1:8" ht="12.95" customHeight="1" x14ac:dyDescent="0.2">
      <c r="C166" s="23" t="s">
        <v>296</v>
      </c>
      <c r="D166" s="113" t="s">
        <v>551</v>
      </c>
      <c r="E166" s="114"/>
      <c r="F166" s="114"/>
      <c r="G166" s="114"/>
    </row>
    <row r="167" spans="1:8" x14ac:dyDescent="0.2">
      <c r="A167" s="20" t="s">
        <v>136</v>
      </c>
      <c r="B167" s="20" t="s">
        <v>7</v>
      </c>
      <c r="C167" s="20" t="s">
        <v>322</v>
      </c>
      <c r="D167" s="121" t="s">
        <v>552</v>
      </c>
      <c r="E167" s="122"/>
      <c r="F167" s="20" t="s">
        <v>785</v>
      </c>
      <c r="G167" s="29">
        <v>24.75</v>
      </c>
      <c r="H167" s="29">
        <v>0</v>
      </c>
    </row>
    <row r="168" spans="1:8" ht="12.2" customHeight="1" x14ac:dyDescent="0.2">
      <c r="A168" s="20"/>
      <c r="B168" s="20"/>
      <c r="C168" s="20"/>
      <c r="D168" s="119" t="s">
        <v>559</v>
      </c>
      <c r="E168" s="120"/>
      <c r="F168" s="119"/>
      <c r="G168" s="30">
        <v>24.75</v>
      </c>
      <c r="H168" s="33"/>
    </row>
    <row r="169" spans="1:8" ht="38.450000000000003" customHeight="1" x14ac:dyDescent="0.2">
      <c r="C169" s="23" t="s">
        <v>296</v>
      </c>
      <c r="D169" s="113" t="s">
        <v>554</v>
      </c>
      <c r="E169" s="114"/>
      <c r="F169" s="114"/>
      <c r="G169" s="114"/>
    </row>
    <row r="170" spans="1:8" x14ac:dyDescent="0.2">
      <c r="A170" s="18" t="s">
        <v>137</v>
      </c>
      <c r="B170" s="18" t="s">
        <v>7</v>
      </c>
      <c r="C170" s="18" t="s">
        <v>323</v>
      </c>
      <c r="D170" s="111" t="s">
        <v>560</v>
      </c>
      <c r="E170" s="112"/>
      <c r="F170" s="18" t="s">
        <v>783</v>
      </c>
      <c r="G170" s="26">
        <v>2784</v>
      </c>
      <c r="H170" s="26">
        <v>0</v>
      </c>
    </row>
    <row r="171" spans="1:8" ht="12.2" customHeight="1" x14ac:dyDescent="0.2">
      <c r="A171" s="18"/>
      <c r="B171" s="18"/>
      <c r="C171" s="18"/>
      <c r="D171" s="115" t="s">
        <v>528</v>
      </c>
      <c r="E171" s="116"/>
      <c r="F171" s="115"/>
      <c r="G171" s="28">
        <v>2025</v>
      </c>
      <c r="H171" s="32"/>
    </row>
    <row r="172" spans="1:8" ht="12.2" customHeight="1" x14ac:dyDescent="0.2">
      <c r="A172" s="18"/>
      <c r="B172" s="18"/>
      <c r="C172" s="18"/>
      <c r="D172" s="115" t="s">
        <v>532</v>
      </c>
      <c r="E172" s="116"/>
      <c r="F172" s="115"/>
      <c r="G172" s="28">
        <v>33.5</v>
      </c>
      <c r="H172" s="32"/>
    </row>
    <row r="173" spans="1:8" ht="12.2" customHeight="1" x14ac:dyDescent="0.2">
      <c r="A173" s="18"/>
      <c r="B173" s="18"/>
      <c r="C173" s="18"/>
      <c r="D173" s="115" t="s">
        <v>533</v>
      </c>
      <c r="E173" s="116"/>
      <c r="F173" s="115"/>
      <c r="G173" s="28">
        <v>107</v>
      </c>
      <c r="H173" s="32"/>
    </row>
    <row r="174" spans="1:8" ht="12.2" customHeight="1" x14ac:dyDescent="0.2">
      <c r="A174" s="18"/>
      <c r="B174" s="18"/>
      <c r="C174" s="18"/>
      <c r="D174" s="115" t="s">
        <v>534</v>
      </c>
      <c r="E174" s="116"/>
      <c r="F174" s="115"/>
      <c r="G174" s="28">
        <v>206.95</v>
      </c>
      <c r="H174" s="32"/>
    </row>
    <row r="175" spans="1:8" ht="12.2" customHeight="1" x14ac:dyDescent="0.2">
      <c r="A175" s="18"/>
      <c r="B175" s="18"/>
      <c r="C175" s="18"/>
      <c r="D175" s="115" t="s">
        <v>535</v>
      </c>
      <c r="E175" s="116"/>
      <c r="F175" s="115"/>
      <c r="G175" s="28">
        <v>204.3</v>
      </c>
      <c r="H175" s="32"/>
    </row>
    <row r="176" spans="1:8" ht="12.2" customHeight="1" x14ac:dyDescent="0.2">
      <c r="A176" s="18"/>
      <c r="B176" s="18"/>
      <c r="C176" s="18"/>
      <c r="D176" s="115" t="s">
        <v>536</v>
      </c>
      <c r="E176" s="116"/>
      <c r="F176" s="115"/>
      <c r="G176" s="28">
        <v>207.25</v>
      </c>
      <c r="H176" s="32"/>
    </row>
    <row r="177" spans="1:8" x14ac:dyDescent="0.2">
      <c r="A177" s="18" t="s">
        <v>138</v>
      </c>
      <c r="B177" s="18" t="s">
        <v>7</v>
      </c>
      <c r="C177" s="18" t="s">
        <v>324</v>
      </c>
      <c r="D177" s="111" t="s">
        <v>561</v>
      </c>
      <c r="E177" s="112"/>
      <c r="F177" s="18" t="s">
        <v>783</v>
      </c>
      <c r="G177" s="26">
        <v>759</v>
      </c>
      <c r="H177" s="26">
        <v>0</v>
      </c>
    </row>
    <row r="178" spans="1:8" ht="12.2" customHeight="1" x14ac:dyDescent="0.2">
      <c r="A178" s="18"/>
      <c r="B178" s="18"/>
      <c r="C178" s="18"/>
      <c r="D178" s="115" t="s">
        <v>532</v>
      </c>
      <c r="E178" s="116"/>
      <c r="F178" s="115"/>
      <c r="G178" s="28">
        <v>33.5</v>
      </c>
      <c r="H178" s="32"/>
    </row>
    <row r="179" spans="1:8" ht="12.2" customHeight="1" x14ac:dyDescent="0.2">
      <c r="A179" s="18"/>
      <c r="B179" s="18"/>
      <c r="C179" s="18"/>
      <c r="D179" s="115" t="s">
        <v>533</v>
      </c>
      <c r="E179" s="116"/>
      <c r="F179" s="115"/>
      <c r="G179" s="28">
        <v>107</v>
      </c>
      <c r="H179" s="32"/>
    </row>
    <row r="180" spans="1:8" ht="12.2" customHeight="1" x14ac:dyDescent="0.2">
      <c r="A180" s="18"/>
      <c r="B180" s="18"/>
      <c r="C180" s="18"/>
      <c r="D180" s="115" t="s">
        <v>534</v>
      </c>
      <c r="E180" s="116"/>
      <c r="F180" s="115"/>
      <c r="G180" s="28">
        <v>206.95</v>
      </c>
      <c r="H180" s="32"/>
    </row>
    <row r="181" spans="1:8" ht="12.2" customHeight="1" x14ac:dyDescent="0.2">
      <c r="A181" s="18"/>
      <c r="B181" s="18"/>
      <c r="C181" s="18"/>
      <c r="D181" s="115" t="s">
        <v>535</v>
      </c>
      <c r="E181" s="116"/>
      <c r="F181" s="115"/>
      <c r="G181" s="28">
        <v>204.3</v>
      </c>
      <c r="H181" s="32"/>
    </row>
    <row r="182" spans="1:8" ht="12.2" customHeight="1" x14ac:dyDescent="0.2">
      <c r="A182" s="18"/>
      <c r="B182" s="18"/>
      <c r="C182" s="18"/>
      <c r="D182" s="115" t="s">
        <v>536</v>
      </c>
      <c r="E182" s="116"/>
      <c r="F182" s="115"/>
      <c r="G182" s="28">
        <v>207.25</v>
      </c>
      <c r="H182" s="32"/>
    </row>
    <row r="183" spans="1:8" x14ac:dyDescent="0.2">
      <c r="A183" s="18" t="s">
        <v>139</v>
      </c>
      <c r="B183" s="18" t="s">
        <v>7</v>
      </c>
      <c r="C183" s="18" t="s">
        <v>325</v>
      </c>
      <c r="D183" s="111" t="s">
        <v>562</v>
      </c>
      <c r="E183" s="112"/>
      <c r="F183" s="18" t="s">
        <v>783</v>
      </c>
      <c r="G183" s="26">
        <v>759</v>
      </c>
      <c r="H183" s="26">
        <v>0</v>
      </c>
    </row>
    <row r="184" spans="1:8" ht="12.2" customHeight="1" x14ac:dyDescent="0.2">
      <c r="A184" s="18"/>
      <c r="B184" s="18"/>
      <c r="C184" s="18"/>
      <c r="D184" s="115" t="s">
        <v>532</v>
      </c>
      <c r="E184" s="116"/>
      <c r="F184" s="115"/>
      <c r="G184" s="28">
        <v>33.5</v>
      </c>
      <c r="H184" s="32"/>
    </row>
    <row r="185" spans="1:8" ht="12.2" customHeight="1" x14ac:dyDescent="0.2">
      <c r="A185" s="18"/>
      <c r="B185" s="18"/>
      <c r="C185" s="18"/>
      <c r="D185" s="115" t="s">
        <v>533</v>
      </c>
      <c r="E185" s="116"/>
      <c r="F185" s="115"/>
      <c r="G185" s="28">
        <v>107</v>
      </c>
      <c r="H185" s="32"/>
    </row>
    <row r="186" spans="1:8" ht="12.2" customHeight="1" x14ac:dyDescent="0.2">
      <c r="A186" s="18"/>
      <c r="B186" s="18"/>
      <c r="C186" s="18"/>
      <c r="D186" s="115" t="s">
        <v>534</v>
      </c>
      <c r="E186" s="116"/>
      <c r="F186" s="115"/>
      <c r="G186" s="28">
        <v>206.95</v>
      </c>
      <c r="H186" s="32"/>
    </row>
    <row r="187" spans="1:8" ht="12.2" customHeight="1" x14ac:dyDescent="0.2">
      <c r="A187" s="18"/>
      <c r="B187" s="18"/>
      <c r="C187" s="18"/>
      <c r="D187" s="115" t="s">
        <v>535</v>
      </c>
      <c r="E187" s="116"/>
      <c r="F187" s="115"/>
      <c r="G187" s="28">
        <v>204.3</v>
      </c>
      <c r="H187" s="32"/>
    </row>
    <row r="188" spans="1:8" ht="12.2" customHeight="1" x14ac:dyDescent="0.2">
      <c r="A188" s="18"/>
      <c r="B188" s="18"/>
      <c r="C188" s="18"/>
      <c r="D188" s="115" t="s">
        <v>536</v>
      </c>
      <c r="E188" s="116"/>
      <c r="F188" s="115"/>
      <c r="G188" s="28">
        <v>207.25</v>
      </c>
      <c r="H188" s="32"/>
    </row>
    <row r="189" spans="1:8" x14ac:dyDescent="0.2">
      <c r="A189" s="20" t="s">
        <v>140</v>
      </c>
      <c r="B189" s="20" t="s">
        <v>7</v>
      </c>
      <c r="C189" s="20" t="s">
        <v>326</v>
      </c>
      <c r="D189" s="121" t="s">
        <v>563</v>
      </c>
      <c r="E189" s="122"/>
      <c r="F189" s="20" t="s">
        <v>785</v>
      </c>
      <c r="G189" s="29">
        <v>75.900000000000006</v>
      </c>
      <c r="H189" s="29">
        <v>0</v>
      </c>
    </row>
    <row r="190" spans="1:8" ht="12.2" customHeight="1" x14ac:dyDescent="0.2">
      <c r="A190" s="20"/>
      <c r="B190" s="20"/>
      <c r="C190" s="20"/>
      <c r="D190" s="119" t="s">
        <v>564</v>
      </c>
      <c r="E190" s="120"/>
      <c r="F190" s="119"/>
      <c r="G190" s="30">
        <v>3.35</v>
      </c>
      <c r="H190" s="33"/>
    </row>
    <row r="191" spans="1:8" ht="12.2" customHeight="1" x14ac:dyDescent="0.2">
      <c r="A191" s="20"/>
      <c r="B191" s="20"/>
      <c r="C191" s="20"/>
      <c r="D191" s="119" t="s">
        <v>565</v>
      </c>
      <c r="E191" s="120"/>
      <c r="F191" s="119"/>
      <c r="G191" s="30">
        <v>10.7</v>
      </c>
      <c r="H191" s="33"/>
    </row>
    <row r="192" spans="1:8" ht="12.2" customHeight="1" x14ac:dyDescent="0.2">
      <c r="A192" s="20"/>
      <c r="B192" s="20"/>
      <c r="C192" s="20"/>
      <c r="D192" s="119" t="s">
        <v>566</v>
      </c>
      <c r="E192" s="120"/>
      <c r="F192" s="119"/>
      <c r="G192" s="30">
        <v>20.695</v>
      </c>
      <c r="H192" s="33"/>
    </row>
    <row r="193" spans="1:8" ht="12.2" customHeight="1" x14ac:dyDescent="0.2">
      <c r="A193" s="20"/>
      <c r="B193" s="20"/>
      <c r="C193" s="20"/>
      <c r="D193" s="119" t="s">
        <v>567</v>
      </c>
      <c r="E193" s="120"/>
      <c r="F193" s="119"/>
      <c r="G193" s="30">
        <v>20.43</v>
      </c>
      <c r="H193" s="33"/>
    </row>
    <row r="194" spans="1:8" ht="12.2" customHeight="1" x14ac:dyDescent="0.2">
      <c r="A194" s="20"/>
      <c r="B194" s="20"/>
      <c r="C194" s="20"/>
      <c r="D194" s="119" t="s">
        <v>568</v>
      </c>
      <c r="E194" s="120"/>
      <c r="F194" s="119"/>
      <c r="G194" s="30">
        <v>20.725000000000001</v>
      </c>
      <c r="H194" s="33"/>
    </row>
    <row r="195" spans="1:8" x14ac:dyDescent="0.2">
      <c r="A195" s="18" t="s">
        <v>141</v>
      </c>
      <c r="B195" s="18" t="s">
        <v>7</v>
      </c>
      <c r="C195" s="18" t="s">
        <v>327</v>
      </c>
      <c r="D195" s="111" t="s">
        <v>569</v>
      </c>
      <c r="E195" s="112"/>
      <c r="F195" s="18" t="s">
        <v>783</v>
      </c>
      <c r="G195" s="26">
        <v>759</v>
      </c>
      <c r="H195" s="26">
        <v>0</v>
      </c>
    </row>
    <row r="196" spans="1:8" ht="12.2" customHeight="1" x14ac:dyDescent="0.2">
      <c r="A196" s="18"/>
      <c r="B196" s="18"/>
      <c r="C196" s="18"/>
      <c r="D196" s="115" t="s">
        <v>532</v>
      </c>
      <c r="E196" s="116"/>
      <c r="F196" s="115"/>
      <c r="G196" s="28">
        <v>33.5</v>
      </c>
      <c r="H196" s="32"/>
    </row>
    <row r="197" spans="1:8" ht="12.2" customHeight="1" x14ac:dyDescent="0.2">
      <c r="A197" s="18"/>
      <c r="B197" s="18"/>
      <c r="C197" s="18"/>
      <c r="D197" s="115" t="s">
        <v>533</v>
      </c>
      <c r="E197" s="116"/>
      <c r="F197" s="115"/>
      <c r="G197" s="28">
        <v>107</v>
      </c>
      <c r="H197" s="32"/>
    </row>
    <row r="198" spans="1:8" ht="12.2" customHeight="1" x14ac:dyDescent="0.2">
      <c r="A198" s="18"/>
      <c r="B198" s="18"/>
      <c r="C198" s="18"/>
      <c r="D198" s="115" t="s">
        <v>534</v>
      </c>
      <c r="E198" s="116"/>
      <c r="F198" s="115"/>
      <c r="G198" s="28">
        <v>206.95</v>
      </c>
      <c r="H198" s="32"/>
    </row>
    <row r="199" spans="1:8" ht="12.2" customHeight="1" x14ac:dyDescent="0.2">
      <c r="A199" s="18"/>
      <c r="B199" s="18"/>
      <c r="C199" s="18"/>
      <c r="D199" s="115" t="s">
        <v>535</v>
      </c>
      <c r="E199" s="116"/>
      <c r="F199" s="115"/>
      <c r="G199" s="28">
        <v>204.3</v>
      </c>
      <c r="H199" s="32"/>
    </row>
    <row r="200" spans="1:8" ht="12.2" customHeight="1" x14ac:dyDescent="0.2">
      <c r="A200" s="18"/>
      <c r="B200" s="18"/>
      <c r="C200" s="18"/>
      <c r="D200" s="115" t="s">
        <v>536</v>
      </c>
      <c r="E200" s="116"/>
      <c r="F200" s="115"/>
      <c r="G200" s="28">
        <v>207.25</v>
      </c>
      <c r="H200" s="32"/>
    </row>
    <row r="201" spans="1:8" x14ac:dyDescent="0.2">
      <c r="A201" s="18" t="s">
        <v>142</v>
      </c>
      <c r="B201" s="18" t="s">
        <v>7</v>
      </c>
      <c r="C201" s="18" t="s">
        <v>328</v>
      </c>
      <c r="D201" s="111" t="s">
        <v>570</v>
      </c>
      <c r="E201" s="112"/>
      <c r="F201" s="18" t="s">
        <v>785</v>
      </c>
      <c r="G201" s="26">
        <v>18.975000000000001</v>
      </c>
      <c r="H201" s="26">
        <v>0</v>
      </c>
    </row>
    <row r="202" spans="1:8" ht="12.2" customHeight="1" x14ac:dyDescent="0.2">
      <c r="A202" s="18"/>
      <c r="B202" s="18"/>
      <c r="C202" s="18"/>
      <c r="D202" s="115" t="s">
        <v>571</v>
      </c>
      <c r="E202" s="116"/>
      <c r="F202" s="115"/>
      <c r="G202" s="28">
        <v>0.83750000000000002</v>
      </c>
      <c r="H202" s="32"/>
    </row>
    <row r="203" spans="1:8" ht="12.2" customHeight="1" x14ac:dyDescent="0.2">
      <c r="A203" s="18"/>
      <c r="B203" s="18"/>
      <c r="C203" s="18"/>
      <c r="D203" s="115" t="s">
        <v>572</v>
      </c>
      <c r="E203" s="116"/>
      <c r="F203" s="115"/>
      <c r="G203" s="28">
        <v>2.6749999999999998</v>
      </c>
      <c r="H203" s="32"/>
    </row>
    <row r="204" spans="1:8" ht="12.2" customHeight="1" x14ac:dyDescent="0.2">
      <c r="A204" s="18"/>
      <c r="B204" s="18"/>
      <c r="C204" s="18"/>
      <c r="D204" s="115" t="s">
        <v>573</v>
      </c>
      <c r="E204" s="116"/>
      <c r="F204" s="115"/>
      <c r="G204" s="28">
        <v>5.1737500000000001</v>
      </c>
      <c r="H204" s="32"/>
    </row>
    <row r="205" spans="1:8" ht="12.2" customHeight="1" x14ac:dyDescent="0.2">
      <c r="A205" s="18"/>
      <c r="B205" s="18"/>
      <c r="C205" s="18"/>
      <c r="D205" s="115" t="s">
        <v>574</v>
      </c>
      <c r="E205" s="116"/>
      <c r="F205" s="115"/>
      <c r="G205" s="28">
        <v>5.1074999999999999</v>
      </c>
      <c r="H205" s="32"/>
    </row>
    <row r="206" spans="1:8" ht="12.2" customHeight="1" x14ac:dyDescent="0.2">
      <c r="A206" s="18"/>
      <c r="B206" s="18"/>
      <c r="C206" s="18"/>
      <c r="D206" s="115" t="s">
        <v>575</v>
      </c>
      <c r="E206" s="116"/>
      <c r="F206" s="115"/>
      <c r="G206" s="28">
        <v>5.1812500000000004</v>
      </c>
      <c r="H206" s="32"/>
    </row>
    <row r="207" spans="1:8" x14ac:dyDescent="0.2">
      <c r="A207" s="18" t="s">
        <v>143</v>
      </c>
      <c r="B207" s="18" t="s">
        <v>7</v>
      </c>
      <c r="C207" s="18" t="s">
        <v>329</v>
      </c>
      <c r="D207" s="111" t="s">
        <v>576</v>
      </c>
      <c r="E207" s="112"/>
      <c r="F207" s="18" t="s">
        <v>785</v>
      </c>
      <c r="G207" s="26">
        <v>18.975000000000001</v>
      </c>
      <c r="H207" s="26">
        <v>0</v>
      </c>
    </row>
    <row r="208" spans="1:8" x14ac:dyDescent="0.2">
      <c r="A208" s="18" t="s">
        <v>144</v>
      </c>
      <c r="B208" s="18" t="s">
        <v>7</v>
      </c>
      <c r="C208" s="18" t="s">
        <v>330</v>
      </c>
      <c r="D208" s="111" t="s">
        <v>577</v>
      </c>
      <c r="E208" s="112"/>
      <c r="F208" s="18" t="s">
        <v>784</v>
      </c>
      <c r="G208" s="26">
        <v>3</v>
      </c>
      <c r="H208" s="26">
        <v>0</v>
      </c>
    </row>
    <row r="209" spans="1:8" x14ac:dyDescent="0.2">
      <c r="A209" s="18" t="s">
        <v>145</v>
      </c>
      <c r="B209" s="18" t="s">
        <v>7</v>
      </c>
      <c r="C209" s="18" t="s">
        <v>331</v>
      </c>
      <c r="D209" s="111" t="s">
        <v>578</v>
      </c>
      <c r="E209" s="112"/>
      <c r="F209" s="18" t="s">
        <v>784</v>
      </c>
      <c r="G209" s="26">
        <v>3</v>
      </c>
      <c r="H209" s="26">
        <v>0</v>
      </c>
    </row>
    <row r="210" spans="1:8" x14ac:dyDescent="0.2">
      <c r="A210" s="18" t="s">
        <v>146</v>
      </c>
      <c r="B210" s="18" t="s">
        <v>7</v>
      </c>
      <c r="C210" s="18" t="s">
        <v>332</v>
      </c>
      <c r="D210" s="111" t="s">
        <v>579</v>
      </c>
      <c r="E210" s="112"/>
      <c r="F210" s="18" t="s">
        <v>784</v>
      </c>
      <c r="G210" s="26">
        <v>3010</v>
      </c>
      <c r="H210" s="26">
        <v>0</v>
      </c>
    </row>
    <row r="211" spans="1:8" x14ac:dyDescent="0.2">
      <c r="A211" s="18" t="s">
        <v>147</v>
      </c>
      <c r="B211" s="18" t="s">
        <v>7</v>
      </c>
      <c r="C211" s="18" t="s">
        <v>333</v>
      </c>
      <c r="D211" s="111" t="s">
        <v>580</v>
      </c>
      <c r="E211" s="112"/>
      <c r="F211" s="18" t="s">
        <v>783</v>
      </c>
      <c r="G211" s="26">
        <v>759</v>
      </c>
      <c r="H211" s="26">
        <v>0</v>
      </c>
    </row>
    <row r="212" spans="1:8" ht="12.2" customHeight="1" x14ac:dyDescent="0.2">
      <c r="A212" s="18"/>
      <c r="B212" s="18"/>
      <c r="C212" s="18"/>
      <c r="D212" s="115" t="s">
        <v>532</v>
      </c>
      <c r="E212" s="116"/>
      <c r="F212" s="115"/>
      <c r="G212" s="28">
        <v>33.5</v>
      </c>
      <c r="H212" s="32"/>
    </row>
    <row r="213" spans="1:8" ht="12.2" customHeight="1" x14ac:dyDescent="0.2">
      <c r="A213" s="18"/>
      <c r="B213" s="18"/>
      <c r="C213" s="18"/>
      <c r="D213" s="115" t="s">
        <v>533</v>
      </c>
      <c r="E213" s="116"/>
      <c r="F213" s="115"/>
      <c r="G213" s="28">
        <v>107</v>
      </c>
      <c r="H213" s="32"/>
    </row>
    <row r="214" spans="1:8" ht="12.2" customHeight="1" x14ac:dyDescent="0.2">
      <c r="A214" s="18"/>
      <c r="B214" s="18"/>
      <c r="C214" s="18"/>
      <c r="D214" s="115" t="s">
        <v>534</v>
      </c>
      <c r="E214" s="116"/>
      <c r="F214" s="115"/>
      <c r="G214" s="28">
        <v>206.95</v>
      </c>
      <c r="H214" s="32"/>
    </row>
    <row r="215" spans="1:8" ht="12.2" customHeight="1" x14ac:dyDescent="0.2">
      <c r="A215" s="18"/>
      <c r="B215" s="18"/>
      <c r="C215" s="18"/>
      <c r="D215" s="115" t="s">
        <v>535</v>
      </c>
      <c r="E215" s="116"/>
      <c r="F215" s="115"/>
      <c r="G215" s="28">
        <v>204.3</v>
      </c>
      <c r="H215" s="32"/>
    </row>
    <row r="216" spans="1:8" ht="12.2" customHeight="1" x14ac:dyDescent="0.2">
      <c r="A216" s="18"/>
      <c r="B216" s="18"/>
      <c r="C216" s="18"/>
      <c r="D216" s="115" t="s">
        <v>536</v>
      </c>
      <c r="E216" s="116"/>
      <c r="F216" s="115"/>
      <c r="G216" s="28">
        <v>207.25</v>
      </c>
      <c r="H216" s="32"/>
    </row>
    <row r="217" spans="1:8" x14ac:dyDescent="0.2">
      <c r="A217" s="18" t="s">
        <v>148</v>
      </c>
      <c r="B217" s="18" t="s">
        <v>7</v>
      </c>
      <c r="C217" s="18" t="s">
        <v>334</v>
      </c>
      <c r="D217" s="111" t="s">
        <v>581</v>
      </c>
      <c r="E217" s="112"/>
      <c r="F217" s="18" t="s">
        <v>784</v>
      </c>
      <c r="G217" s="26">
        <v>3010</v>
      </c>
      <c r="H217" s="26">
        <v>0</v>
      </c>
    </row>
    <row r="218" spans="1:8" x14ac:dyDescent="0.2">
      <c r="A218" s="18" t="s">
        <v>149</v>
      </c>
      <c r="B218" s="18" t="s">
        <v>7</v>
      </c>
      <c r="C218" s="18" t="s">
        <v>335</v>
      </c>
      <c r="D218" s="111" t="s">
        <v>582</v>
      </c>
      <c r="E218" s="112"/>
      <c r="F218" s="18" t="s">
        <v>789</v>
      </c>
      <c r="G218" s="26">
        <v>200</v>
      </c>
      <c r="H218" s="26">
        <v>0</v>
      </c>
    </row>
    <row r="219" spans="1:8" x14ac:dyDescent="0.2">
      <c r="A219" s="18" t="s">
        <v>150</v>
      </c>
      <c r="B219" s="18" t="s">
        <v>7</v>
      </c>
      <c r="C219" s="18" t="s">
        <v>336</v>
      </c>
      <c r="D219" s="111" t="s">
        <v>583</v>
      </c>
      <c r="E219" s="112"/>
      <c r="F219" s="18" t="s">
        <v>789</v>
      </c>
      <c r="G219" s="26">
        <v>180</v>
      </c>
      <c r="H219" s="26">
        <v>0</v>
      </c>
    </row>
    <row r="220" spans="1:8" x14ac:dyDescent="0.2">
      <c r="A220" s="18" t="s">
        <v>151</v>
      </c>
      <c r="B220" s="18" t="s">
        <v>7</v>
      </c>
      <c r="C220" s="18" t="s">
        <v>337</v>
      </c>
      <c r="D220" s="111" t="s">
        <v>584</v>
      </c>
      <c r="E220" s="112"/>
      <c r="F220" s="18" t="s">
        <v>789</v>
      </c>
      <c r="G220" s="26">
        <v>140</v>
      </c>
      <c r="H220" s="26">
        <v>0</v>
      </c>
    </row>
    <row r="221" spans="1:8" x14ac:dyDescent="0.2">
      <c r="A221" s="18" t="s">
        <v>152</v>
      </c>
      <c r="B221" s="18" t="s">
        <v>7</v>
      </c>
      <c r="C221" s="18" t="s">
        <v>338</v>
      </c>
      <c r="D221" s="111" t="s">
        <v>585</v>
      </c>
      <c r="E221" s="112"/>
      <c r="F221" s="18" t="s">
        <v>789</v>
      </c>
      <c r="G221" s="26">
        <v>160</v>
      </c>
      <c r="H221" s="26">
        <v>0</v>
      </c>
    </row>
    <row r="222" spans="1:8" x14ac:dyDescent="0.2">
      <c r="A222" s="18" t="s">
        <v>153</v>
      </c>
      <c r="B222" s="18" t="s">
        <v>7</v>
      </c>
      <c r="C222" s="18" t="s">
        <v>339</v>
      </c>
      <c r="D222" s="111" t="s">
        <v>586</v>
      </c>
      <c r="E222" s="112"/>
      <c r="F222" s="18" t="s">
        <v>789</v>
      </c>
      <c r="G222" s="26">
        <v>160</v>
      </c>
      <c r="H222" s="26">
        <v>0</v>
      </c>
    </row>
    <row r="223" spans="1:8" x14ac:dyDescent="0.2">
      <c r="A223" s="18" t="s">
        <v>154</v>
      </c>
      <c r="B223" s="18" t="s">
        <v>7</v>
      </c>
      <c r="C223" s="18" t="s">
        <v>340</v>
      </c>
      <c r="D223" s="111" t="s">
        <v>587</v>
      </c>
      <c r="E223" s="112"/>
      <c r="F223" s="18" t="s">
        <v>789</v>
      </c>
      <c r="G223" s="26">
        <v>200</v>
      </c>
      <c r="H223" s="26">
        <v>0</v>
      </c>
    </row>
    <row r="224" spans="1:8" x14ac:dyDescent="0.2">
      <c r="A224" s="18" t="s">
        <v>155</v>
      </c>
      <c r="B224" s="18" t="s">
        <v>7</v>
      </c>
      <c r="C224" s="18" t="s">
        <v>341</v>
      </c>
      <c r="D224" s="111" t="s">
        <v>588</v>
      </c>
      <c r="E224" s="112"/>
      <c r="F224" s="18" t="s">
        <v>789</v>
      </c>
      <c r="G224" s="26">
        <v>80</v>
      </c>
      <c r="H224" s="26">
        <v>0</v>
      </c>
    </row>
    <row r="225" spans="1:8" x14ac:dyDescent="0.2">
      <c r="A225" s="18" t="s">
        <v>156</v>
      </c>
      <c r="B225" s="18" t="s">
        <v>7</v>
      </c>
      <c r="C225" s="18" t="s">
        <v>342</v>
      </c>
      <c r="D225" s="111" t="s">
        <v>589</v>
      </c>
      <c r="E225" s="112"/>
      <c r="F225" s="18" t="s">
        <v>789</v>
      </c>
      <c r="G225" s="26">
        <v>100</v>
      </c>
      <c r="H225" s="26">
        <v>0</v>
      </c>
    </row>
    <row r="226" spans="1:8" x14ac:dyDescent="0.2">
      <c r="A226" s="18" t="s">
        <v>157</v>
      </c>
      <c r="B226" s="18" t="s">
        <v>7</v>
      </c>
      <c r="C226" s="18" t="s">
        <v>343</v>
      </c>
      <c r="D226" s="111" t="s">
        <v>590</v>
      </c>
      <c r="E226" s="112"/>
      <c r="F226" s="18" t="s">
        <v>789</v>
      </c>
      <c r="G226" s="26">
        <v>60</v>
      </c>
      <c r="H226" s="26">
        <v>0</v>
      </c>
    </row>
    <row r="227" spans="1:8" x14ac:dyDescent="0.2">
      <c r="A227" s="18" t="s">
        <v>158</v>
      </c>
      <c r="B227" s="18" t="s">
        <v>7</v>
      </c>
      <c r="C227" s="18" t="s">
        <v>344</v>
      </c>
      <c r="D227" s="111" t="s">
        <v>591</v>
      </c>
      <c r="E227" s="112"/>
      <c r="F227" s="18" t="s">
        <v>789</v>
      </c>
      <c r="G227" s="26">
        <v>195</v>
      </c>
      <c r="H227" s="26">
        <v>0</v>
      </c>
    </row>
    <row r="228" spans="1:8" x14ac:dyDescent="0.2">
      <c r="A228" s="18" t="s">
        <v>159</v>
      </c>
      <c r="B228" s="18" t="s">
        <v>7</v>
      </c>
      <c r="C228" s="18" t="s">
        <v>345</v>
      </c>
      <c r="D228" s="111" t="s">
        <v>592</v>
      </c>
      <c r="E228" s="112"/>
      <c r="F228" s="18" t="s">
        <v>789</v>
      </c>
      <c r="G228" s="26">
        <v>130</v>
      </c>
      <c r="H228" s="26">
        <v>0</v>
      </c>
    </row>
    <row r="229" spans="1:8" x14ac:dyDescent="0.2">
      <c r="A229" s="18" t="s">
        <v>33</v>
      </c>
      <c r="B229" s="18" t="s">
        <v>7</v>
      </c>
      <c r="C229" s="18" t="s">
        <v>346</v>
      </c>
      <c r="D229" s="111" t="s">
        <v>593</v>
      </c>
      <c r="E229" s="112"/>
      <c r="F229" s="18" t="s">
        <v>789</v>
      </c>
      <c r="G229" s="26">
        <v>390</v>
      </c>
      <c r="H229" s="26">
        <v>0</v>
      </c>
    </row>
    <row r="230" spans="1:8" x14ac:dyDescent="0.2">
      <c r="A230" s="18" t="s">
        <v>160</v>
      </c>
      <c r="B230" s="18" t="s">
        <v>7</v>
      </c>
      <c r="C230" s="18" t="s">
        <v>347</v>
      </c>
      <c r="D230" s="111" t="s">
        <v>594</v>
      </c>
      <c r="E230" s="112"/>
      <c r="F230" s="18" t="s">
        <v>789</v>
      </c>
      <c r="G230" s="26">
        <v>250</v>
      </c>
      <c r="H230" s="26">
        <v>0</v>
      </c>
    </row>
    <row r="231" spans="1:8" x14ac:dyDescent="0.2">
      <c r="A231" s="18" t="s">
        <v>34</v>
      </c>
      <c r="B231" s="18" t="s">
        <v>7</v>
      </c>
      <c r="C231" s="18" t="s">
        <v>347</v>
      </c>
      <c r="D231" s="111" t="s">
        <v>595</v>
      </c>
      <c r="E231" s="112"/>
      <c r="F231" s="18" t="s">
        <v>789</v>
      </c>
      <c r="G231" s="26">
        <v>30</v>
      </c>
      <c r="H231" s="26">
        <v>0</v>
      </c>
    </row>
    <row r="232" spans="1:8" x14ac:dyDescent="0.2">
      <c r="A232" s="18" t="s">
        <v>161</v>
      </c>
      <c r="B232" s="18" t="s">
        <v>7</v>
      </c>
      <c r="C232" s="18" t="s">
        <v>348</v>
      </c>
      <c r="D232" s="111" t="s">
        <v>596</v>
      </c>
      <c r="E232" s="112"/>
      <c r="F232" s="18" t="s">
        <v>789</v>
      </c>
      <c r="G232" s="26">
        <v>30</v>
      </c>
      <c r="H232" s="26">
        <v>0</v>
      </c>
    </row>
    <row r="233" spans="1:8" x14ac:dyDescent="0.2">
      <c r="A233" s="18" t="s">
        <v>162</v>
      </c>
      <c r="B233" s="18" t="s">
        <v>7</v>
      </c>
      <c r="C233" s="18" t="s">
        <v>349</v>
      </c>
      <c r="D233" s="111" t="s">
        <v>597</v>
      </c>
      <c r="E233" s="112"/>
      <c r="F233" s="18" t="s">
        <v>789</v>
      </c>
      <c r="G233" s="26">
        <v>45</v>
      </c>
      <c r="H233" s="26">
        <v>0</v>
      </c>
    </row>
    <row r="234" spans="1:8" x14ac:dyDescent="0.2">
      <c r="A234" s="18" t="s">
        <v>163</v>
      </c>
      <c r="B234" s="18" t="s">
        <v>7</v>
      </c>
      <c r="C234" s="18" t="s">
        <v>350</v>
      </c>
      <c r="D234" s="111" t="s">
        <v>598</v>
      </c>
      <c r="E234" s="112"/>
      <c r="F234" s="18" t="s">
        <v>789</v>
      </c>
      <c r="G234" s="26">
        <v>20</v>
      </c>
      <c r="H234" s="26">
        <v>0</v>
      </c>
    </row>
    <row r="235" spans="1:8" x14ac:dyDescent="0.2">
      <c r="A235" s="18" t="s">
        <v>164</v>
      </c>
      <c r="B235" s="18" t="s">
        <v>7</v>
      </c>
      <c r="C235" s="18" t="s">
        <v>351</v>
      </c>
      <c r="D235" s="111" t="s">
        <v>599</v>
      </c>
      <c r="E235" s="112"/>
      <c r="F235" s="18" t="s">
        <v>789</v>
      </c>
      <c r="G235" s="26">
        <v>20</v>
      </c>
      <c r="H235" s="26">
        <v>0</v>
      </c>
    </row>
    <row r="236" spans="1:8" x14ac:dyDescent="0.2">
      <c r="A236" s="18" t="s">
        <v>35</v>
      </c>
      <c r="B236" s="18" t="s">
        <v>7</v>
      </c>
      <c r="C236" s="18" t="s">
        <v>352</v>
      </c>
      <c r="D236" s="111" t="s">
        <v>600</v>
      </c>
      <c r="E236" s="112"/>
      <c r="F236" s="18" t="s">
        <v>789</v>
      </c>
      <c r="G236" s="26">
        <v>30</v>
      </c>
      <c r="H236" s="26">
        <v>0</v>
      </c>
    </row>
    <row r="237" spans="1:8" x14ac:dyDescent="0.2">
      <c r="A237" s="18" t="s">
        <v>165</v>
      </c>
      <c r="B237" s="18" t="s">
        <v>7</v>
      </c>
      <c r="C237" s="18" t="s">
        <v>353</v>
      </c>
      <c r="D237" s="111" t="s">
        <v>601</v>
      </c>
      <c r="E237" s="112"/>
      <c r="F237" s="18" t="s">
        <v>789</v>
      </c>
      <c r="G237" s="26">
        <v>10</v>
      </c>
      <c r="H237" s="26">
        <v>0</v>
      </c>
    </row>
    <row r="238" spans="1:8" x14ac:dyDescent="0.2">
      <c r="A238" s="18" t="s">
        <v>166</v>
      </c>
      <c r="B238" s="18" t="s">
        <v>7</v>
      </c>
      <c r="C238" s="18" t="s">
        <v>354</v>
      </c>
      <c r="D238" s="111" t="s">
        <v>602</v>
      </c>
      <c r="E238" s="112"/>
      <c r="F238" s="18" t="s">
        <v>789</v>
      </c>
      <c r="G238" s="26">
        <v>50</v>
      </c>
      <c r="H238" s="26">
        <v>0</v>
      </c>
    </row>
    <row r="239" spans="1:8" x14ac:dyDescent="0.2">
      <c r="A239" s="18" t="s">
        <v>167</v>
      </c>
      <c r="B239" s="18" t="s">
        <v>7</v>
      </c>
      <c r="C239" s="18" t="s">
        <v>355</v>
      </c>
      <c r="D239" s="111" t="s">
        <v>603</v>
      </c>
      <c r="E239" s="112"/>
      <c r="F239" s="18" t="s">
        <v>789</v>
      </c>
      <c r="G239" s="26">
        <v>40</v>
      </c>
      <c r="H239" s="26">
        <v>0</v>
      </c>
    </row>
    <row r="240" spans="1:8" x14ac:dyDescent="0.2">
      <c r="A240" s="18" t="s">
        <v>168</v>
      </c>
      <c r="B240" s="18" t="s">
        <v>7</v>
      </c>
      <c r="C240" s="18" t="s">
        <v>356</v>
      </c>
      <c r="D240" s="111" t="s">
        <v>604</v>
      </c>
      <c r="E240" s="112"/>
      <c r="F240" s="18" t="s">
        <v>789</v>
      </c>
      <c r="G240" s="26">
        <v>3</v>
      </c>
      <c r="H240" s="26">
        <v>0</v>
      </c>
    </row>
    <row r="241" spans="1:8" x14ac:dyDescent="0.2">
      <c r="A241" s="18" t="s">
        <v>169</v>
      </c>
      <c r="B241" s="18" t="s">
        <v>7</v>
      </c>
      <c r="C241" s="18" t="s">
        <v>357</v>
      </c>
      <c r="D241" s="111" t="s">
        <v>605</v>
      </c>
      <c r="E241" s="112"/>
      <c r="F241" s="18" t="s">
        <v>789</v>
      </c>
      <c r="G241" s="26">
        <v>50</v>
      </c>
      <c r="H241" s="26">
        <v>0</v>
      </c>
    </row>
    <row r="242" spans="1:8" x14ac:dyDescent="0.2">
      <c r="A242" s="18" t="s">
        <v>170</v>
      </c>
      <c r="B242" s="18" t="s">
        <v>7</v>
      </c>
      <c r="C242" s="18" t="s">
        <v>358</v>
      </c>
      <c r="D242" s="111" t="s">
        <v>606</v>
      </c>
      <c r="E242" s="112"/>
      <c r="F242" s="18" t="s">
        <v>789</v>
      </c>
      <c r="G242" s="26">
        <v>30</v>
      </c>
      <c r="H242" s="26">
        <v>0</v>
      </c>
    </row>
    <row r="243" spans="1:8" x14ac:dyDescent="0.2">
      <c r="A243" s="18" t="s">
        <v>171</v>
      </c>
      <c r="B243" s="18" t="s">
        <v>7</v>
      </c>
      <c r="C243" s="18" t="s">
        <v>359</v>
      </c>
      <c r="D243" s="111" t="s">
        <v>607</v>
      </c>
      <c r="E243" s="112"/>
      <c r="F243" s="18" t="s">
        <v>789</v>
      </c>
      <c r="G243" s="26">
        <v>100</v>
      </c>
      <c r="H243" s="26">
        <v>0</v>
      </c>
    </row>
    <row r="244" spans="1:8" x14ac:dyDescent="0.2">
      <c r="A244" s="18" t="s">
        <v>172</v>
      </c>
      <c r="B244" s="18" t="s">
        <v>7</v>
      </c>
      <c r="C244" s="18" t="s">
        <v>360</v>
      </c>
      <c r="D244" s="111" t="s">
        <v>608</v>
      </c>
      <c r="E244" s="112"/>
      <c r="F244" s="18" t="s">
        <v>789</v>
      </c>
      <c r="G244" s="26">
        <v>45</v>
      </c>
      <c r="H244" s="26">
        <v>0</v>
      </c>
    </row>
    <row r="245" spans="1:8" x14ac:dyDescent="0.2">
      <c r="A245" s="18" t="s">
        <v>173</v>
      </c>
      <c r="B245" s="18" t="s">
        <v>7</v>
      </c>
      <c r="C245" s="18" t="s">
        <v>361</v>
      </c>
      <c r="D245" s="111" t="s">
        <v>609</v>
      </c>
      <c r="E245" s="112"/>
      <c r="F245" s="18" t="s">
        <v>789</v>
      </c>
      <c r="G245" s="26">
        <v>45</v>
      </c>
      <c r="H245" s="26">
        <v>0</v>
      </c>
    </row>
    <row r="246" spans="1:8" x14ac:dyDescent="0.2">
      <c r="A246" s="18" t="s">
        <v>174</v>
      </c>
      <c r="B246" s="18" t="s">
        <v>7</v>
      </c>
      <c r="C246" s="18" t="s">
        <v>362</v>
      </c>
      <c r="D246" s="111" t="s">
        <v>610</v>
      </c>
      <c r="E246" s="112"/>
      <c r="F246" s="18" t="s">
        <v>789</v>
      </c>
      <c r="G246" s="26">
        <v>10</v>
      </c>
      <c r="H246" s="26">
        <v>0</v>
      </c>
    </row>
    <row r="247" spans="1:8" x14ac:dyDescent="0.2">
      <c r="A247" s="18" t="s">
        <v>175</v>
      </c>
      <c r="B247" s="18" t="s">
        <v>7</v>
      </c>
      <c r="C247" s="18" t="s">
        <v>363</v>
      </c>
      <c r="D247" s="111" t="s">
        <v>611</v>
      </c>
      <c r="E247" s="112"/>
      <c r="F247" s="18" t="s">
        <v>789</v>
      </c>
      <c r="G247" s="26">
        <v>5</v>
      </c>
      <c r="H247" s="26">
        <v>0</v>
      </c>
    </row>
    <row r="248" spans="1:8" x14ac:dyDescent="0.2">
      <c r="A248" s="18" t="s">
        <v>176</v>
      </c>
      <c r="B248" s="18" t="s">
        <v>7</v>
      </c>
      <c r="C248" s="18" t="s">
        <v>364</v>
      </c>
      <c r="D248" s="111" t="s">
        <v>612</v>
      </c>
      <c r="E248" s="112"/>
      <c r="F248" s="18" t="s">
        <v>789</v>
      </c>
      <c r="G248" s="26">
        <v>20</v>
      </c>
      <c r="H248" s="26">
        <v>0</v>
      </c>
    </row>
    <row r="249" spans="1:8" x14ac:dyDescent="0.2">
      <c r="A249" s="18" t="s">
        <v>177</v>
      </c>
      <c r="B249" s="18" t="s">
        <v>7</v>
      </c>
      <c r="C249" s="18" t="s">
        <v>365</v>
      </c>
      <c r="D249" s="111" t="s">
        <v>613</v>
      </c>
      <c r="E249" s="112"/>
      <c r="F249" s="18" t="s">
        <v>789</v>
      </c>
      <c r="G249" s="26">
        <v>20</v>
      </c>
      <c r="H249" s="26">
        <v>0</v>
      </c>
    </row>
    <row r="250" spans="1:8" x14ac:dyDescent="0.2">
      <c r="A250" s="18" t="s">
        <v>178</v>
      </c>
      <c r="B250" s="18" t="s">
        <v>7</v>
      </c>
      <c r="C250" s="18" t="s">
        <v>366</v>
      </c>
      <c r="D250" s="111" t="s">
        <v>614</v>
      </c>
      <c r="E250" s="112"/>
      <c r="F250" s="18" t="s">
        <v>789</v>
      </c>
      <c r="G250" s="26">
        <v>30</v>
      </c>
      <c r="H250" s="26">
        <v>0</v>
      </c>
    </row>
    <row r="251" spans="1:8" x14ac:dyDescent="0.2">
      <c r="A251" s="18" t="s">
        <v>179</v>
      </c>
      <c r="B251" s="18" t="s">
        <v>7</v>
      </c>
      <c r="C251" s="18" t="s">
        <v>367</v>
      </c>
      <c r="D251" s="111" t="s">
        <v>615</v>
      </c>
      <c r="E251" s="112"/>
      <c r="F251" s="18" t="s">
        <v>789</v>
      </c>
      <c r="G251" s="26">
        <v>20</v>
      </c>
      <c r="H251" s="26">
        <v>0</v>
      </c>
    </row>
    <row r="252" spans="1:8" x14ac:dyDescent="0.2">
      <c r="A252" s="18" t="s">
        <v>180</v>
      </c>
      <c r="B252" s="18" t="s">
        <v>7</v>
      </c>
      <c r="C252" s="18" t="s">
        <v>368</v>
      </c>
      <c r="D252" s="111" t="s">
        <v>616</v>
      </c>
      <c r="E252" s="112"/>
      <c r="F252" s="18" t="s">
        <v>789</v>
      </c>
      <c r="G252" s="26">
        <v>15</v>
      </c>
      <c r="H252" s="26">
        <v>0</v>
      </c>
    </row>
    <row r="253" spans="1:8" x14ac:dyDescent="0.2">
      <c r="A253" s="18" t="s">
        <v>181</v>
      </c>
      <c r="B253" s="18" t="s">
        <v>7</v>
      </c>
      <c r="C253" s="18" t="s">
        <v>369</v>
      </c>
      <c r="D253" s="111" t="s">
        <v>617</v>
      </c>
      <c r="E253" s="112"/>
      <c r="F253" s="18" t="s">
        <v>789</v>
      </c>
      <c r="G253" s="26">
        <v>15</v>
      </c>
      <c r="H253" s="26">
        <v>0</v>
      </c>
    </row>
    <row r="254" spans="1:8" x14ac:dyDescent="0.2">
      <c r="A254" s="18" t="s">
        <v>182</v>
      </c>
      <c r="B254" s="18" t="s">
        <v>7</v>
      </c>
      <c r="C254" s="18" t="s">
        <v>370</v>
      </c>
      <c r="D254" s="111" t="s">
        <v>618</v>
      </c>
      <c r="E254" s="112"/>
      <c r="F254" s="18" t="s">
        <v>789</v>
      </c>
      <c r="G254" s="26">
        <v>15</v>
      </c>
      <c r="H254" s="26">
        <v>0</v>
      </c>
    </row>
    <row r="255" spans="1:8" x14ac:dyDescent="0.2">
      <c r="A255" s="18" t="s">
        <v>183</v>
      </c>
      <c r="B255" s="18" t="s">
        <v>7</v>
      </c>
      <c r="C255" s="18" t="s">
        <v>371</v>
      </c>
      <c r="D255" s="111" t="s">
        <v>619</v>
      </c>
      <c r="E255" s="112"/>
      <c r="F255" s="18" t="s">
        <v>789</v>
      </c>
      <c r="G255" s="26">
        <v>10</v>
      </c>
      <c r="H255" s="26">
        <v>0</v>
      </c>
    </row>
    <row r="256" spans="1:8" x14ac:dyDescent="0.2">
      <c r="A256" s="18" t="s">
        <v>184</v>
      </c>
      <c r="B256" s="18" t="s">
        <v>7</v>
      </c>
      <c r="C256" s="18" t="s">
        <v>372</v>
      </c>
      <c r="D256" s="111" t="s">
        <v>620</v>
      </c>
      <c r="E256" s="112"/>
      <c r="F256" s="18" t="s">
        <v>789</v>
      </c>
      <c r="G256" s="26">
        <v>10</v>
      </c>
      <c r="H256" s="26">
        <v>0</v>
      </c>
    </row>
    <row r="257" spans="1:8" x14ac:dyDescent="0.2">
      <c r="A257" s="18" t="s">
        <v>185</v>
      </c>
      <c r="B257" s="18" t="s">
        <v>7</v>
      </c>
      <c r="C257" s="18" t="s">
        <v>373</v>
      </c>
      <c r="D257" s="111" t="s">
        <v>621</v>
      </c>
      <c r="E257" s="112"/>
      <c r="F257" s="18" t="s">
        <v>789</v>
      </c>
      <c r="G257" s="26">
        <v>10</v>
      </c>
      <c r="H257" s="26">
        <v>0</v>
      </c>
    </row>
    <row r="258" spans="1:8" x14ac:dyDescent="0.2">
      <c r="A258" s="18" t="s">
        <v>186</v>
      </c>
      <c r="B258" s="18" t="s">
        <v>7</v>
      </c>
      <c r="C258" s="18" t="s">
        <v>374</v>
      </c>
      <c r="D258" s="111" t="s">
        <v>622</v>
      </c>
      <c r="E258" s="112"/>
      <c r="F258" s="18" t="s">
        <v>789</v>
      </c>
      <c r="G258" s="26">
        <v>20</v>
      </c>
      <c r="H258" s="26">
        <v>0</v>
      </c>
    </row>
    <row r="259" spans="1:8" x14ac:dyDescent="0.2">
      <c r="A259" s="18" t="s">
        <v>187</v>
      </c>
      <c r="B259" s="18" t="s">
        <v>7</v>
      </c>
      <c r="C259" s="18" t="s">
        <v>375</v>
      </c>
      <c r="D259" s="111" t="s">
        <v>623</v>
      </c>
      <c r="E259" s="112"/>
      <c r="F259" s="18" t="s">
        <v>789</v>
      </c>
      <c r="G259" s="26">
        <v>10</v>
      </c>
      <c r="H259" s="26">
        <v>0</v>
      </c>
    </row>
    <row r="260" spans="1:8" x14ac:dyDescent="0.2">
      <c r="A260" s="18" t="s">
        <v>188</v>
      </c>
      <c r="B260" s="18" t="s">
        <v>7</v>
      </c>
      <c r="C260" s="18" t="s">
        <v>376</v>
      </c>
      <c r="D260" s="111" t="s">
        <v>624</v>
      </c>
      <c r="E260" s="112"/>
      <c r="F260" s="18" t="s">
        <v>789</v>
      </c>
      <c r="G260" s="26">
        <v>10</v>
      </c>
      <c r="H260" s="26">
        <v>0</v>
      </c>
    </row>
    <row r="261" spans="1:8" x14ac:dyDescent="0.2">
      <c r="A261" s="18" t="s">
        <v>189</v>
      </c>
      <c r="B261" s="18" t="s">
        <v>7</v>
      </c>
      <c r="C261" s="18" t="s">
        <v>377</v>
      </c>
      <c r="D261" s="111" t="s">
        <v>625</v>
      </c>
      <c r="E261" s="112"/>
      <c r="F261" s="18" t="s">
        <v>781</v>
      </c>
      <c r="G261" s="26">
        <v>1</v>
      </c>
      <c r="H261" s="26">
        <v>0</v>
      </c>
    </row>
    <row r="262" spans="1:8" x14ac:dyDescent="0.2">
      <c r="A262" s="19"/>
      <c r="B262" s="19"/>
      <c r="C262" s="19" t="s">
        <v>20</v>
      </c>
      <c r="D262" s="117" t="s">
        <v>49</v>
      </c>
      <c r="E262" s="118"/>
      <c r="F262" s="19"/>
      <c r="G262" s="27"/>
      <c r="H262" s="27"/>
    </row>
    <row r="263" spans="1:8" x14ac:dyDescent="0.2">
      <c r="A263" s="18" t="s">
        <v>190</v>
      </c>
      <c r="B263" s="18" t="s">
        <v>7</v>
      </c>
      <c r="C263" s="18" t="s">
        <v>378</v>
      </c>
      <c r="D263" s="111" t="s">
        <v>626</v>
      </c>
      <c r="E263" s="112"/>
      <c r="F263" s="18" t="s">
        <v>785</v>
      </c>
      <c r="G263" s="26">
        <v>1.8759999999999999</v>
      </c>
      <c r="H263" s="26">
        <v>0</v>
      </c>
    </row>
    <row r="264" spans="1:8" ht="12.2" customHeight="1" x14ac:dyDescent="0.2">
      <c r="A264" s="18"/>
      <c r="B264" s="18"/>
      <c r="C264" s="18"/>
      <c r="D264" s="115" t="s">
        <v>627</v>
      </c>
      <c r="E264" s="116"/>
      <c r="F264" s="115"/>
      <c r="G264" s="28">
        <v>0.76800000000000002</v>
      </c>
      <c r="H264" s="32"/>
    </row>
    <row r="265" spans="1:8" ht="12.2" customHeight="1" x14ac:dyDescent="0.2">
      <c r="A265" s="18"/>
      <c r="B265" s="18"/>
      <c r="C265" s="18"/>
      <c r="D265" s="115" t="s">
        <v>628</v>
      </c>
      <c r="E265" s="116"/>
      <c r="F265" s="115"/>
      <c r="G265" s="28">
        <v>0.1</v>
      </c>
      <c r="H265" s="32"/>
    </row>
    <row r="266" spans="1:8" ht="12.2" customHeight="1" x14ac:dyDescent="0.2">
      <c r="A266" s="18"/>
      <c r="B266" s="18"/>
      <c r="C266" s="18"/>
      <c r="D266" s="115" t="s">
        <v>629</v>
      </c>
      <c r="E266" s="116"/>
      <c r="F266" s="115"/>
      <c r="G266" s="28">
        <v>1.008</v>
      </c>
      <c r="H266" s="32"/>
    </row>
    <row r="267" spans="1:8" ht="12.95" customHeight="1" x14ac:dyDescent="0.2">
      <c r="C267" s="23" t="s">
        <v>296</v>
      </c>
      <c r="D267" s="113" t="s">
        <v>630</v>
      </c>
      <c r="E267" s="114"/>
      <c r="F267" s="114"/>
      <c r="G267" s="114"/>
    </row>
    <row r="268" spans="1:8" x14ac:dyDescent="0.2">
      <c r="A268" s="18" t="s">
        <v>191</v>
      </c>
      <c r="B268" s="18" t="s">
        <v>7</v>
      </c>
      <c r="C268" s="18" t="s">
        <v>379</v>
      </c>
      <c r="D268" s="111" t="s">
        <v>631</v>
      </c>
      <c r="E268" s="112"/>
      <c r="F268" s="18" t="s">
        <v>783</v>
      </c>
      <c r="G268" s="26">
        <v>27.05</v>
      </c>
      <c r="H268" s="26">
        <v>0</v>
      </c>
    </row>
    <row r="269" spans="1:8" ht="12.2" customHeight="1" x14ac:dyDescent="0.2">
      <c r="A269" s="18"/>
      <c r="B269" s="18"/>
      <c r="C269" s="18"/>
      <c r="D269" s="115" t="s">
        <v>632</v>
      </c>
      <c r="E269" s="116"/>
      <c r="F269" s="115"/>
      <c r="G269" s="28">
        <v>10.24</v>
      </c>
      <c r="H269" s="32"/>
    </row>
    <row r="270" spans="1:8" ht="12.2" customHeight="1" x14ac:dyDescent="0.2">
      <c r="A270" s="18"/>
      <c r="B270" s="18"/>
      <c r="C270" s="18"/>
      <c r="D270" s="115" t="s">
        <v>633</v>
      </c>
      <c r="E270" s="116"/>
      <c r="F270" s="115"/>
      <c r="G270" s="28">
        <v>1.2</v>
      </c>
      <c r="H270" s="32"/>
    </row>
    <row r="271" spans="1:8" ht="12.2" customHeight="1" x14ac:dyDescent="0.2">
      <c r="A271" s="18"/>
      <c r="B271" s="18"/>
      <c r="C271" s="18"/>
      <c r="D271" s="115" t="s">
        <v>634</v>
      </c>
      <c r="E271" s="116"/>
      <c r="F271" s="115"/>
      <c r="G271" s="28">
        <v>11.2</v>
      </c>
      <c r="H271" s="32"/>
    </row>
    <row r="272" spans="1:8" ht="12.2" customHeight="1" x14ac:dyDescent="0.2">
      <c r="A272" s="18"/>
      <c r="B272" s="18"/>
      <c r="C272" s="18"/>
      <c r="D272" s="115" t="s">
        <v>498</v>
      </c>
      <c r="E272" s="116"/>
      <c r="F272" s="115"/>
      <c r="G272" s="28">
        <v>4.41</v>
      </c>
      <c r="H272" s="32"/>
    </row>
    <row r="273" spans="1:8" x14ac:dyDescent="0.2">
      <c r="A273" s="18" t="s">
        <v>192</v>
      </c>
      <c r="B273" s="18" t="s">
        <v>7</v>
      </c>
      <c r="C273" s="18" t="s">
        <v>380</v>
      </c>
      <c r="D273" s="111" t="s">
        <v>635</v>
      </c>
      <c r="E273" s="112"/>
      <c r="F273" s="18" t="s">
        <v>783</v>
      </c>
      <c r="G273" s="26">
        <v>27.05</v>
      </c>
      <c r="H273" s="26">
        <v>0</v>
      </c>
    </row>
    <row r="274" spans="1:8" ht="12.2" customHeight="1" x14ac:dyDescent="0.2">
      <c r="A274" s="18"/>
      <c r="B274" s="18"/>
      <c r="C274" s="18"/>
      <c r="D274" s="115" t="s">
        <v>632</v>
      </c>
      <c r="E274" s="116"/>
      <c r="F274" s="115"/>
      <c r="G274" s="28">
        <v>10.24</v>
      </c>
      <c r="H274" s="32"/>
    </row>
    <row r="275" spans="1:8" ht="12.2" customHeight="1" x14ac:dyDescent="0.2">
      <c r="A275" s="18"/>
      <c r="B275" s="18"/>
      <c r="C275" s="18"/>
      <c r="D275" s="115" t="s">
        <v>633</v>
      </c>
      <c r="E275" s="116"/>
      <c r="F275" s="115"/>
      <c r="G275" s="28">
        <v>1.2</v>
      </c>
      <c r="H275" s="32"/>
    </row>
    <row r="276" spans="1:8" ht="12.2" customHeight="1" x14ac:dyDescent="0.2">
      <c r="A276" s="18"/>
      <c r="B276" s="18"/>
      <c r="C276" s="18"/>
      <c r="D276" s="115" t="s">
        <v>634</v>
      </c>
      <c r="E276" s="116"/>
      <c r="F276" s="115"/>
      <c r="G276" s="28">
        <v>11.2</v>
      </c>
      <c r="H276" s="32"/>
    </row>
    <row r="277" spans="1:8" ht="12.2" customHeight="1" x14ac:dyDescent="0.2">
      <c r="A277" s="18"/>
      <c r="B277" s="18"/>
      <c r="C277" s="18"/>
      <c r="D277" s="115" t="s">
        <v>498</v>
      </c>
      <c r="E277" s="116"/>
      <c r="F277" s="115"/>
      <c r="G277" s="28">
        <v>4.41</v>
      </c>
      <c r="H277" s="32"/>
    </row>
    <row r="278" spans="1:8" x14ac:dyDescent="0.2">
      <c r="A278" s="18" t="s">
        <v>193</v>
      </c>
      <c r="B278" s="18" t="s">
        <v>7</v>
      </c>
      <c r="C278" s="18" t="s">
        <v>381</v>
      </c>
      <c r="D278" s="111" t="s">
        <v>636</v>
      </c>
      <c r="E278" s="112"/>
      <c r="F278" s="18" t="s">
        <v>785</v>
      </c>
      <c r="G278" s="26">
        <v>4.41</v>
      </c>
      <c r="H278" s="26">
        <v>0</v>
      </c>
    </row>
    <row r="279" spans="1:8" ht="12.2" customHeight="1" x14ac:dyDescent="0.2">
      <c r="A279" s="18"/>
      <c r="B279" s="18"/>
      <c r="C279" s="18"/>
      <c r="D279" s="115" t="s">
        <v>498</v>
      </c>
      <c r="E279" s="116"/>
      <c r="F279" s="115"/>
      <c r="G279" s="28">
        <v>4.41</v>
      </c>
      <c r="H279" s="32"/>
    </row>
    <row r="280" spans="1:8" ht="12.95" customHeight="1" x14ac:dyDescent="0.2">
      <c r="C280" s="23" t="s">
        <v>296</v>
      </c>
      <c r="D280" s="113" t="s">
        <v>637</v>
      </c>
      <c r="E280" s="114"/>
      <c r="F280" s="114"/>
      <c r="G280" s="114"/>
    </row>
    <row r="281" spans="1:8" x14ac:dyDescent="0.2">
      <c r="A281" s="19"/>
      <c r="B281" s="19"/>
      <c r="C281" s="19" t="s">
        <v>21</v>
      </c>
      <c r="D281" s="117" t="s">
        <v>50</v>
      </c>
      <c r="E281" s="118"/>
      <c r="F281" s="19"/>
      <c r="G281" s="27"/>
      <c r="H281" s="27"/>
    </row>
    <row r="282" spans="1:8" x14ac:dyDescent="0.2">
      <c r="A282" s="18" t="s">
        <v>194</v>
      </c>
      <c r="B282" s="18" t="s">
        <v>7</v>
      </c>
      <c r="C282" s="18" t="s">
        <v>382</v>
      </c>
      <c r="D282" s="111" t="s">
        <v>638</v>
      </c>
      <c r="E282" s="112"/>
      <c r="F282" s="18" t="s">
        <v>782</v>
      </c>
      <c r="G282" s="26">
        <v>13</v>
      </c>
      <c r="H282" s="26">
        <v>0</v>
      </c>
    </row>
    <row r="283" spans="1:8" x14ac:dyDescent="0.2">
      <c r="A283" s="19"/>
      <c r="B283" s="19"/>
      <c r="C283" s="19" t="s">
        <v>22</v>
      </c>
      <c r="D283" s="117" t="s">
        <v>51</v>
      </c>
      <c r="E283" s="118"/>
      <c r="F283" s="19"/>
      <c r="G283" s="27"/>
      <c r="H283" s="27"/>
    </row>
    <row r="284" spans="1:8" x14ac:dyDescent="0.2">
      <c r="A284" s="18" t="s">
        <v>195</v>
      </c>
      <c r="B284" s="18" t="s">
        <v>7</v>
      </c>
      <c r="C284" s="18" t="s">
        <v>383</v>
      </c>
      <c r="D284" s="111" t="s">
        <v>639</v>
      </c>
      <c r="E284" s="112"/>
      <c r="F284" s="18" t="s">
        <v>784</v>
      </c>
      <c r="G284" s="26">
        <v>2</v>
      </c>
      <c r="H284" s="26">
        <v>0</v>
      </c>
    </row>
    <row r="285" spans="1:8" x14ac:dyDescent="0.2">
      <c r="A285" s="19"/>
      <c r="B285" s="19"/>
      <c r="C285" s="19" t="s">
        <v>23</v>
      </c>
      <c r="D285" s="117" t="s">
        <v>52</v>
      </c>
      <c r="E285" s="118"/>
      <c r="F285" s="19"/>
      <c r="G285" s="27"/>
      <c r="H285" s="27"/>
    </row>
    <row r="286" spans="1:8" x14ac:dyDescent="0.2">
      <c r="A286" s="18" t="s">
        <v>196</v>
      </c>
      <c r="B286" s="18" t="s">
        <v>8</v>
      </c>
      <c r="C286" s="18" t="s">
        <v>384</v>
      </c>
      <c r="D286" s="111" t="s">
        <v>640</v>
      </c>
      <c r="E286" s="112"/>
      <c r="F286" s="18" t="s">
        <v>783</v>
      </c>
      <c r="G286" s="26">
        <v>412</v>
      </c>
      <c r="H286" s="26">
        <v>0</v>
      </c>
    </row>
    <row r="287" spans="1:8" x14ac:dyDescent="0.2">
      <c r="A287" s="18" t="s">
        <v>197</v>
      </c>
      <c r="B287" s="18" t="s">
        <v>8</v>
      </c>
      <c r="C287" s="18" t="s">
        <v>385</v>
      </c>
      <c r="D287" s="111" t="s">
        <v>640</v>
      </c>
      <c r="E287" s="112"/>
      <c r="F287" s="18" t="s">
        <v>783</v>
      </c>
      <c r="G287" s="26">
        <v>425</v>
      </c>
      <c r="H287" s="26">
        <v>0</v>
      </c>
    </row>
    <row r="288" spans="1:8" x14ac:dyDescent="0.2">
      <c r="A288" s="18" t="s">
        <v>198</v>
      </c>
      <c r="B288" s="18" t="s">
        <v>7</v>
      </c>
      <c r="C288" s="18" t="s">
        <v>384</v>
      </c>
      <c r="D288" s="111" t="s">
        <v>640</v>
      </c>
      <c r="E288" s="112"/>
      <c r="F288" s="18" t="s">
        <v>783</v>
      </c>
      <c r="G288" s="26">
        <v>654</v>
      </c>
      <c r="H288" s="26">
        <v>0</v>
      </c>
    </row>
    <row r="289" spans="1:8" x14ac:dyDescent="0.2">
      <c r="A289" s="18" t="s">
        <v>199</v>
      </c>
      <c r="B289" s="18" t="s">
        <v>7</v>
      </c>
      <c r="C289" s="18" t="s">
        <v>385</v>
      </c>
      <c r="D289" s="111" t="s">
        <v>640</v>
      </c>
      <c r="E289" s="112"/>
      <c r="F289" s="18" t="s">
        <v>783</v>
      </c>
      <c r="G289" s="26">
        <v>821.67</v>
      </c>
      <c r="H289" s="26">
        <v>0</v>
      </c>
    </row>
    <row r="290" spans="1:8" ht="12.2" customHeight="1" x14ac:dyDescent="0.2">
      <c r="A290" s="18"/>
      <c r="B290" s="18"/>
      <c r="C290" s="18"/>
      <c r="D290" s="115" t="s">
        <v>641</v>
      </c>
      <c r="E290" s="116"/>
      <c r="F290" s="115"/>
      <c r="G290" s="28">
        <v>685</v>
      </c>
      <c r="H290" s="32"/>
    </row>
    <row r="291" spans="1:8" ht="12.2" customHeight="1" x14ac:dyDescent="0.2">
      <c r="A291" s="18"/>
      <c r="B291" s="18"/>
      <c r="C291" s="18"/>
      <c r="D291" s="115" t="s">
        <v>642</v>
      </c>
      <c r="E291" s="116"/>
      <c r="F291" s="115"/>
      <c r="G291" s="28">
        <v>56.67</v>
      </c>
      <c r="H291" s="32"/>
    </row>
    <row r="292" spans="1:8" ht="12.2" customHeight="1" x14ac:dyDescent="0.2">
      <c r="A292" s="18"/>
      <c r="B292" s="18"/>
      <c r="C292" s="18"/>
      <c r="D292" s="115" t="s">
        <v>643</v>
      </c>
      <c r="E292" s="116"/>
      <c r="F292" s="115"/>
      <c r="G292" s="28">
        <v>80</v>
      </c>
      <c r="H292" s="32"/>
    </row>
    <row r="293" spans="1:8" x14ac:dyDescent="0.2">
      <c r="A293" s="18" t="s">
        <v>200</v>
      </c>
      <c r="B293" s="18" t="s">
        <v>7</v>
      </c>
      <c r="C293" s="18" t="s">
        <v>386</v>
      </c>
      <c r="D293" s="111" t="s">
        <v>644</v>
      </c>
      <c r="E293" s="112"/>
      <c r="F293" s="18" t="s">
        <v>783</v>
      </c>
      <c r="G293" s="26">
        <v>39.299999999999997</v>
      </c>
      <c r="H293" s="26">
        <v>0</v>
      </c>
    </row>
    <row r="294" spans="1:8" x14ac:dyDescent="0.2">
      <c r="A294" s="18" t="s">
        <v>201</v>
      </c>
      <c r="B294" s="18" t="s">
        <v>7</v>
      </c>
      <c r="C294" s="18" t="s">
        <v>387</v>
      </c>
      <c r="D294" s="111" t="s">
        <v>645</v>
      </c>
      <c r="E294" s="112"/>
      <c r="F294" s="18" t="s">
        <v>783</v>
      </c>
      <c r="G294" s="26">
        <v>119.3</v>
      </c>
      <c r="H294" s="26">
        <v>0</v>
      </c>
    </row>
    <row r="295" spans="1:8" ht="12.2" customHeight="1" x14ac:dyDescent="0.2">
      <c r="A295" s="18"/>
      <c r="B295" s="18"/>
      <c r="C295" s="18"/>
      <c r="D295" s="115" t="s">
        <v>646</v>
      </c>
      <c r="E295" s="116"/>
      <c r="F295" s="115"/>
      <c r="G295" s="28">
        <v>119.3</v>
      </c>
      <c r="H295" s="32"/>
    </row>
    <row r="296" spans="1:8" x14ac:dyDescent="0.2">
      <c r="A296" s="20" t="s">
        <v>202</v>
      </c>
      <c r="B296" s="20" t="s">
        <v>7</v>
      </c>
      <c r="C296" s="20" t="s">
        <v>388</v>
      </c>
      <c r="D296" s="121" t="s">
        <v>647</v>
      </c>
      <c r="E296" s="122"/>
      <c r="F296" s="20" t="s">
        <v>783</v>
      </c>
      <c r="G296" s="29">
        <v>131.22999999999999</v>
      </c>
      <c r="H296" s="29">
        <v>0</v>
      </c>
    </row>
    <row r="297" spans="1:8" ht="12.2" customHeight="1" x14ac:dyDescent="0.2">
      <c r="A297" s="20"/>
      <c r="B297" s="20"/>
      <c r="C297" s="20"/>
      <c r="D297" s="119" t="s">
        <v>648</v>
      </c>
      <c r="E297" s="120"/>
      <c r="F297" s="119"/>
      <c r="G297" s="30">
        <v>131.22999999999999</v>
      </c>
      <c r="H297" s="33"/>
    </row>
    <row r="298" spans="1:8" ht="51.4" customHeight="1" x14ac:dyDescent="0.2">
      <c r="C298" s="23" t="s">
        <v>296</v>
      </c>
      <c r="D298" s="113" t="s">
        <v>649</v>
      </c>
      <c r="E298" s="114"/>
      <c r="F298" s="114"/>
      <c r="G298" s="114"/>
    </row>
    <row r="299" spans="1:8" x14ac:dyDescent="0.2">
      <c r="A299" s="19"/>
      <c r="B299" s="19"/>
      <c r="C299" s="19" t="s">
        <v>24</v>
      </c>
      <c r="D299" s="117" t="s">
        <v>53</v>
      </c>
      <c r="E299" s="118"/>
      <c r="F299" s="19"/>
      <c r="G299" s="27"/>
      <c r="H299" s="27"/>
    </row>
    <row r="300" spans="1:8" x14ac:dyDescent="0.2">
      <c r="A300" s="18" t="s">
        <v>203</v>
      </c>
      <c r="B300" s="18" t="s">
        <v>8</v>
      </c>
      <c r="C300" s="18" t="s">
        <v>389</v>
      </c>
      <c r="D300" s="111" t="s">
        <v>650</v>
      </c>
      <c r="E300" s="112"/>
      <c r="F300" s="18" t="s">
        <v>783</v>
      </c>
      <c r="G300" s="26">
        <v>391.5</v>
      </c>
      <c r="H300" s="26">
        <v>0</v>
      </c>
    </row>
    <row r="301" spans="1:8" x14ac:dyDescent="0.2">
      <c r="A301" s="18" t="s">
        <v>204</v>
      </c>
      <c r="B301" s="18" t="s">
        <v>8</v>
      </c>
      <c r="C301" s="18" t="s">
        <v>390</v>
      </c>
      <c r="D301" s="111" t="s">
        <v>651</v>
      </c>
      <c r="E301" s="112"/>
      <c r="F301" s="18" t="s">
        <v>783</v>
      </c>
      <c r="G301" s="26">
        <v>391.5</v>
      </c>
      <c r="H301" s="26">
        <v>0</v>
      </c>
    </row>
    <row r="302" spans="1:8" x14ac:dyDescent="0.2">
      <c r="A302" s="18" t="s">
        <v>205</v>
      </c>
      <c r="B302" s="18" t="s">
        <v>8</v>
      </c>
      <c r="C302" s="18" t="s">
        <v>391</v>
      </c>
      <c r="D302" s="111" t="s">
        <v>652</v>
      </c>
      <c r="E302" s="112"/>
      <c r="F302" s="18" t="s">
        <v>783</v>
      </c>
      <c r="G302" s="26">
        <v>391.5</v>
      </c>
      <c r="H302" s="26">
        <v>0</v>
      </c>
    </row>
    <row r="303" spans="1:8" x14ac:dyDescent="0.2">
      <c r="A303" s="18" t="s">
        <v>206</v>
      </c>
      <c r="B303" s="18" t="s">
        <v>8</v>
      </c>
      <c r="C303" s="18" t="s">
        <v>392</v>
      </c>
      <c r="D303" s="111" t="s">
        <v>653</v>
      </c>
      <c r="E303" s="112"/>
      <c r="F303" s="18" t="s">
        <v>783</v>
      </c>
      <c r="G303" s="26">
        <v>391.5</v>
      </c>
      <c r="H303" s="26">
        <v>0</v>
      </c>
    </row>
    <row r="304" spans="1:8" x14ac:dyDescent="0.2">
      <c r="A304" s="18" t="s">
        <v>207</v>
      </c>
      <c r="B304" s="18" t="s">
        <v>7</v>
      </c>
      <c r="C304" s="18" t="s">
        <v>389</v>
      </c>
      <c r="D304" s="111" t="s">
        <v>650</v>
      </c>
      <c r="E304" s="112"/>
      <c r="F304" s="18" t="s">
        <v>783</v>
      </c>
      <c r="G304" s="26">
        <v>622</v>
      </c>
      <c r="H304" s="26">
        <v>0</v>
      </c>
    </row>
    <row r="305" spans="1:8" x14ac:dyDescent="0.2">
      <c r="A305" s="18" t="s">
        <v>208</v>
      </c>
      <c r="B305" s="18" t="s">
        <v>7</v>
      </c>
      <c r="C305" s="18" t="s">
        <v>390</v>
      </c>
      <c r="D305" s="111" t="s">
        <v>651</v>
      </c>
      <c r="E305" s="112"/>
      <c r="F305" s="18" t="s">
        <v>783</v>
      </c>
      <c r="G305" s="26">
        <v>622</v>
      </c>
      <c r="H305" s="26">
        <v>0</v>
      </c>
    </row>
    <row r="306" spans="1:8" x14ac:dyDescent="0.2">
      <c r="A306" s="18" t="s">
        <v>209</v>
      </c>
      <c r="B306" s="18" t="s">
        <v>7</v>
      </c>
      <c r="C306" s="18" t="s">
        <v>391</v>
      </c>
      <c r="D306" s="111" t="s">
        <v>652</v>
      </c>
      <c r="E306" s="112"/>
      <c r="F306" s="18" t="s">
        <v>783</v>
      </c>
      <c r="G306" s="26">
        <v>622</v>
      </c>
      <c r="H306" s="26">
        <v>0</v>
      </c>
    </row>
    <row r="307" spans="1:8" x14ac:dyDescent="0.2">
      <c r="A307" s="18" t="s">
        <v>210</v>
      </c>
      <c r="B307" s="18" t="s">
        <v>7</v>
      </c>
      <c r="C307" s="18" t="s">
        <v>392</v>
      </c>
      <c r="D307" s="111" t="s">
        <v>653</v>
      </c>
      <c r="E307" s="112"/>
      <c r="F307" s="18" t="s">
        <v>783</v>
      </c>
      <c r="G307" s="26">
        <v>622</v>
      </c>
      <c r="H307" s="26">
        <v>0</v>
      </c>
    </row>
    <row r="308" spans="1:8" x14ac:dyDescent="0.2">
      <c r="A308" s="19"/>
      <c r="B308" s="19"/>
      <c r="C308" s="19" t="s">
        <v>25</v>
      </c>
      <c r="D308" s="117" t="s">
        <v>54</v>
      </c>
      <c r="E308" s="118"/>
      <c r="F308" s="19"/>
      <c r="G308" s="27"/>
      <c r="H308" s="27"/>
    </row>
    <row r="309" spans="1:8" x14ac:dyDescent="0.2">
      <c r="A309" s="18" t="s">
        <v>211</v>
      </c>
      <c r="B309" s="18" t="s">
        <v>7</v>
      </c>
      <c r="C309" s="18" t="s">
        <v>393</v>
      </c>
      <c r="D309" s="111" t="s">
        <v>654</v>
      </c>
      <c r="E309" s="112"/>
      <c r="F309" s="18" t="s">
        <v>783</v>
      </c>
      <c r="G309" s="26">
        <v>19.25</v>
      </c>
      <c r="H309" s="26">
        <v>0</v>
      </c>
    </row>
    <row r="310" spans="1:8" ht="12.2" customHeight="1" x14ac:dyDescent="0.2">
      <c r="A310" s="18"/>
      <c r="B310" s="18"/>
      <c r="C310" s="18"/>
      <c r="D310" s="115" t="s">
        <v>479</v>
      </c>
      <c r="E310" s="116"/>
      <c r="F310" s="115"/>
      <c r="G310" s="28">
        <v>19.25</v>
      </c>
      <c r="H310" s="32"/>
    </row>
    <row r="311" spans="1:8" ht="38.450000000000003" customHeight="1" x14ac:dyDescent="0.2">
      <c r="C311" s="23" t="s">
        <v>296</v>
      </c>
      <c r="D311" s="113" t="s">
        <v>655</v>
      </c>
      <c r="E311" s="114"/>
      <c r="F311" s="114"/>
      <c r="G311" s="114"/>
    </row>
    <row r="312" spans="1:8" x14ac:dyDescent="0.2">
      <c r="A312" s="18" t="s">
        <v>212</v>
      </c>
      <c r="B312" s="18" t="s">
        <v>7</v>
      </c>
      <c r="C312" s="18" t="s">
        <v>394</v>
      </c>
      <c r="D312" s="111" t="s">
        <v>656</v>
      </c>
      <c r="E312" s="112"/>
      <c r="F312" s="18" t="s">
        <v>782</v>
      </c>
      <c r="G312" s="26">
        <v>5.3</v>
      </c>
      <c r="H312" s="26">
        <v>0</v>
      </c>
    </row>
    <row r="313" spans="1:8" x14ac:dyDescent="0.2">
      <c r="A313" s="18" t="s">
        <v>213</v>
      </c>
      <c r="B313" s="18" t="s">
        <v>7</v>
      </c>
      <c r="C313" s="18" t="s">
        <v>393</v>
      </c>
      <c r="D313" s="111" t="s">
        <v>654</v>
      </c>
      <c r="E313" s="112"/>
      <c r="F313" s="18" t="s">
        <v>783</v>
      </c>
      <c r="G313" s="26">
        <v>51.25</v>
      </c>
      <c r="H313" s="26">
        <v>0</v>
      </c>
    </row>
    <row r="314" spans="1:8" ht="12.2" customHeight="1" x14ac:dyDescent="0.2">
      <c r="A314" s="18"/>
      <c r="B314" s="18"/>
      <c r="C314" s="18"/>
      <c r="D314" s="115" t="s">
        <v>657</v>
      </c>
      <c r="E314" s="116"/>
      <c r="F314" s="115"/>
      <c r="G314" s="28">
        <v>51.25</v>
      </c>
      <c r="H314" s="32"/>
    </row>
    <row r="315" spans="1:8" ht="38.450000000000003" customHeight="1" x14ac:dyDescent="0.2">
      <c r="C315" s="23" t="s">
        <v>296</v>
      </c>
      <c r="D315" s="113" t="s">
        <v>655</v>
      </c>
      <c r="E315" s="114"/>
      <c r="F315" s="114"/>
      <c r="G315" s="114"/>
    </row>
    <row r="316" spans="1:8" x14ac:dyDescent="0.2">
      <c r="A316" s="20" t="s">
        <v>214</v>
      </c>
      <c r="B316" s="20" t="s">
        <v>7</v>
      </c>
      <c r="C316" s="20" t="s">
        <v>395</v>
      </c>
      <c r="D316" s="121" t="s">
        <v>658</v>
      </c>
      <c r="E316" s="122"/>
      <c r="F316" s="20" t="s">
        <v>783</v>
      </c>
      <c r="G316" s="29">
        <v>56.375</v>
      </c>
      <c r="H316" s="29">
        <v>0</v>
      </c>
    </row>
    <row r="317" spans="1:8" ht="12.2" customHeight="1" x14ac:dyDescent="0.2">
      <c r="A317" s="20"/>
      <c r="B317" s="20"/>
      <c r="C317" s="20"/>
      <c r="D317" s="119" t="s">
        <v>659</v>
      </c>
      <c r="E317" s="120"/>
      <c r="F317" s="119"/>
      <c r="G317" s="30">
        <v>56.375</v>
      </c>
      <c r="H317" s="33"/>
    </row>
    <row r="318" spans="1:8" ht="12.95" customHeight="1" x14ac:dyDescent="0.2">
      <c r="C318" s="23" t="s">
        <v>296</v>
      </c>
      <c r="D318" s="113" t="s">
        <v>660</v>
      </c>
      <c r="E318" s="114"/>
      <c r="F318" s="114"/>
      <c r="G318" s="114"/>
    </row>
    <row r="319" spans="1:8" x14ac:dyDescent="0.2">
      <c r="A319" s="18" t="s">
        <v>215</v>
      </c>
      <c r="B319" s="18" t="s">
        <v>7</v>
      </c>
      <c r="C319" s="18" t="s">
        <v>396</v>
      </c>
      <c r="D319" s="111" t="s">
        <v>661</v>
      </c>
      <c r="E319" s="112"/>
      <c r="F319" s="18" t="s">
        <v>782</v>
      </c>
      <c r="G319" s="26">
        <v>45</v>
      </c>
      <c r="H319" s="26">
        <v>0</v>
      </c>
    </row>
    <row r="320" spans="1:8" x14ac:dyDescent="0.2">
      <c r="A320" s="18" t="s">
        <v>216</v>
      </c>
      <c r="B320" s="18" t="s">
        <v>7</v>
      </c>
      <c r="C320" s="18" t="s">
        <v>397</v>
      </c>
      <c r="D320" s="111" t="s">
        <v>662</v>
      </c>
      <c r="E320" s="112"/>
      <c r="F320" s="18" t="s">
        <v>783</v>
      </c>
      <c r="G320" s="26">
        <v>2.1</v>
      </c>
      <c r="H320" s="26">
        <v>0</v>
      </c>
    </row>
    <row r="321" spans="1:8" x14ac:dyDescent="0.2">
      <c r="A321" s="18" t="s">
        <v>217</v>
      </c>
      <c r="B321" s="18" t="s">
        <v>7</v>
      </c>
      <c r="C321" s="18" t="s">
        <v>398</v>
      </c>
      <c r="D321" s="111" t="s">
        <v>662</v>
      </c>
      <c r="E321" s="112"/>
      <c r="F321" s="18" t="s">
        <v>783</v>
      </c>
      <c r="G321" s="26">
        <v>40</v>
      </c>
      <c r="H321" s="26">
        <v>0</v>
      </c>
    </row>
    <row r="322" spans="1:8" ht="38.450000000000003" customHeight="1" x14ac:dyDescent="0.2">
      <c r="C322" s="23" t="s">
        <v>296</v>
      </c>
      <c r="D322" s="113" t="s">
        <v>663</v>
      </c>
      <c r="E322" s="114"/>
      <c r="F322" s="114"/>
      <c r="G322" s="114"/>
    </row>
    <row r="323" spans="1:8" ht="12.95" customHeight="1" x14ac:dyDescent="0.2">
      <c r="C323" s="22" t="s">
        <v>9</v>
      </c>
      <c r="D323" s="123" t="s">
        <v>664</v>
      </c>
      <c r="E323" s="124"/>
      <c r="F323" s="124"/>
      <c r="G323" s="124"/>
    </row>
    <row r="324" spans="1:8" x14ac:dyDescent="0.2">
      <c r="A324" s="19"/>
      <c r="B324" s="19"/>
      <c r="C324" s="19" t="s">
        <v>26</v>
      </c>
      <c r="D324" s="117" t="s">
        <v>55</v>
      </c>
      <c r="E324" s="118"/>
      <c r="F324" s="19"/>
      <c r="G324" s="27"/>
      <c r="H324" s="27"/>
    </row>
    <row r="325" spans="1:8" x14ac:dyDescent="0.2">
      <c r="A325" s="18" t="s">
        <v>218</v>
      </c>
      <c r="B325" s="18" t="s">
        <v>7</v>
      </c>
      <c r="C325" s="18" t="s">
        <v>399</v>
      </c>
      <c r="D325" s="111" t="s">
        <v>665</v>
      </c>
      <c r="E325" s="112"/>
      <c r="F325" s="18" t="s">
        <v>783</v>
      </c>
      <c r="G325" s="26">
        <v>7.2</v>
      </c>
      <c r="H325" s="26">
        <v>0</v>
      </c>
    </row>
    <row r="326" spans="1:8" ht="12.95" customHeight="1" x14ac:dyDescent="0.2">
      <c r="C326" s="23" t="s">
        <v>296</v>
      </c>
      <c r="D326" s="113" t="s">
        <v>666</v>
      </c>
      <c r="E326" s="114"/>
      <c r="F326" s="114"/>
      <c r="G326" s="114"/>
    </row>
    <row r="327" spans="1:8" x14ac:dyDescent="0.2">
      <c r="A327" s="19"/>
      <c r="B327" s="19"/>
      <c r="C327" s="19" t="s">
        <v>27</v>
      </c>
      <c r="D327" s="117" t="s">
        <v>56</v>
      </c>
      <c r="E327" s="118"/>
      <c r="F327" s="19"/>
      <c r="G327" s="27"/>
      <c r="H327" s="27"/>
    </row>
    <row r="328" spans="1:8" x14ac:dyDescent="0.2">
      <c r="A328" s="18" t="s">
        <v>219</v>
      </c>
      <c r="B328" s="18" t="s">
        <v>7</v>
      </c>
      <c r="C328" s="18" t="s">
        <v>400</v>
      </c>
      <c r="D328" s="111" t="s">
        <v>667</v>
      </c>
      <c r="E328" s="112"/>
      <c r="F328" s="18" t="s">
        <v>784</v>
      </c>
      <c r="G328" s="26">
        <v>1</v>
      </c>
      <c r="H328" s="26">
        <v>0</v>
      </c>
    </row>
    <row r="329" spans="1:8" x14ac:dyDescent="0.2">
      <c r="A329" s="18" t="s">
        <v>220</v>
      </c>
      <c r="B329" s="18" t="s">
        <v>7</v>
      </c>
      <c r="C329" s="18" t="s">
        <v>401</v>
      </c>
      <c r="D329" s="111" t="s">
        <v>668</v>
      </c>
      <c r="E329" s="112"/>
      <c r="F329" s="18" t="s">
        <v>784</v>
      </c>
      <c r="G329" s="26">
        <v>2</v>
      </c>
      <c r="H329" s="26">
        <v>0</v>
      </c>
    </row>
    <row r="330" spans="1:8" x14ac:dyDescent="0.2">
      <c r="A330" s="18" t="s">
        <v>221</v>
      </c>
      <c r="B330" s="18" t="s">
        <v>7</v>
      </c>
      <c r="C330" s="18" t="s">
        <v>402</v>
      </c>
      <c r="D330" s="111" t="s">
        <v>669</v>
      </c>
      <c r="E330" s="112"/>
      <c r="F330" s="18" t="s">
        <v>782</v>
      </c>
      <c r="G330" s="26">
        <v>12.25</v>
      </c>
      <c r="H330" s="26">
        <v>0</v>
      </c>
    </row>
    <row r="331" spans="1:8" ht="12.2" customHeight="1" x14ac:dyDescent="0.2">
      <c r="A331" s="18"/>
      <c r="B331" s="18"/>
      <c r="C331" s="18"/>
      <c r="D331" s="115" t="s">
        <v>670</v>
      </c>
      <c r="E331" s="116"/>
      <c r="F331" s="115"/>
      <c r="G331" s="28">
        <v>12.25</v>
      </c>
      <c r="H331" s="32"/>
    </row>
    <row r="332" spans="1:8" ht="25.7" customHeight="1" x14ac:dyDescent="0.2">
      <c r="C332" s="23" t="s">
        <v>296</v>
      </c>
      <c r="D332" s="113" t="s">
        <v>671</v>
      </c>
      <c r="E332" s="114"/>
      <c r="F332" s="114"/>
      <c r="G332" s="114"/>
    </row>
    <row r="333" spans="1:8" x14ac:dyDescent="0.2">
      <c r="A333" s="18" t="s">
        <v>222</v>
      </c>
      <c r="B333" s="18" t="s">
        <v>7</v>
      </c>
      <c r="C333" s="18" t="s">
        <v>403</v>
      </c>
      <c r="D333" s="111" t="s">
        <v>672</v>
      </c>
      <c r="E333" s="112"/>
      <c r="F333" s="18" t="s">
        <v>790</v>
      </c>
      <c r="G333" s="26">
        <v>141.75810000000001</v>
      </c>
      <c r="H333" s="26">
        <v>0</v>
      </c>
    </row>
    <row r="334" spans="1:8" x14ac:dyDescent="0.2">
      <c r="A334" s="19"/>
      <c r="B334" s="19"/>
      <c r="C334" s="19" t="s">
        <v>28</v>
      </c>
      <c r="D334" s="117" t="s">
        <v>57</v>
      </c>
      <c r="E334" s="118"/>
      <c r="F334" s="19"/>
      <c r="G334" s="27"/>
      <c r="H334" s="27"/>
    </row>
    <row r="335" spans="1:8" x14ac:dyDescent="0.2">
      <c r="A335" s="18" t="s">
        <v>223</v>
      </c>
      <c r="B335" s="18" t="s">
        <v>7</v>
      </c>
      <c r="C335" s="18" t="s">
        <v>404</v>
      </c>
      <c r="D335" s="111" t="s">
        <v>673</v>
      </c>
      <c r="E335" s="112"/>
      <c r="F335" s="18" t="s">
        <v>783</v>
      </c>
      <c r="G335" s="26">
        <v>38.5</v>
      </c>
      <c r="H335" s="26">
        <v>0</v>
      </c>
    </row>
    <row r="336" spans="1:8" x14ac:dyDescent="0.2">
      <c r="A336" s="18" t="s">
        <v>224</v>
      </c>
      <c r="B336" s="18" t="s">
        <v>7</v>
      </c>
      <c r="C336" s="18" t="s">
        <v>405</v>
      </c>
      <c r="D336" s="111" t="s">
        <v>674</v>
      </c>
      <c r="E336" s="112"/>
      <c r="F336" s="18" t="s">
        <v>782</v>
      </c>
      <c r="G336" s="26">
        <v>110.73</v>
      </c>
      <c r="H336" s="26">
        <v>0</v>
      </c>
    </row>
    <row r="337" spans="1:8" ht="12.2" customHeight="1" x14ac:dyDescent="0.2">
      <c r="A337" s="18"/>
      <c r="B337" s="18"/>
      <c r="C337" s="18"/>
      <c r="D337" s="115" t="s">
        <v>675</v>
      </c>
      <c r="E337" s="116"/>
      <c r="F337" s="115"/>
      <c r="G337" s="28">
        <v>110.73</v>
      </c>
      <c r="H337" s="32"/>
    </row>
    <row r="338" spans="1:8" ht="38.450000000000003" customHeight="1" x14ac:dyDescent="0.2">
      <c r="C338" s="23" t="s">
        <v>296</v>
      </c>
      <c r="D338" s="113" t="s">
        <v>676</v>
      </c>
      <c r="E338" s="114"/>
      <c r="F338" s="114"/>
      <c r="G338" s="114"/>
    </row>
    <row r="339" spans="1:8" x14ac:dyDescent="0.2">
      <c r="A339" s="18" t="s">
        <v>225</v>
      </c>
      <c r="B339" s="18" t="s">
        <v>7</v>
      </c>
      <c r="C339" s="18" t="s">
        <v>406</v>
      </c>
      <c r="D339" s="111" t="s">
        <v>677</v>
      </c>
      <c r="E339" s="112"/>
      <c r="F339" s="18" t="s">
        <v>782</v>
      </c>
      <c r="G339" s="26">
        <v>61.2</v>
      </c>
      <c r="H339" s="26">
        <v>0</v>
      </c>
    </row>
    <row r="340" spans="1:8" ht="38.450000000000003" customHeight="1" x14ac:dyDescent="0.2">
      <c r="C340" s="23" t="s">
        <v>296</v>
      </c>
      <c r="D340" s="113" t="s">
        <v>676</v>
      </c>
      <c r="E340" s="114"/>
      <c r="F340" s="114"/>
      <c r="G340" s="114"/>
    </row>
    <row r="341" spans="1:8" x14ac:dyDescent="0.2">
      <c r="A341" s="18" t="s">
        <v>226</v>
      </c>
      <c r="B341" s="18" t="s">
        <v>7</v>
      </c>
      <c r="C341" s="18" t="s">
        <v>407</v>
      </c>
      <c r="D341" s="111" t="s">
        <v>678</v>
      </c>
      <c r="E341" s="112"/>
      <c r="F341" s="18" t="s">
        <v>782</v>
      </c>
      <c r="G341" s="26">
        <v>136.19999999999999</v>
      </c>
      <c r="H341" s="26">
        <v>0</v>
      </c>
    </row>
    <row r="342" spans="1:8" ht="12.2" customHeight="1" x14ac:dyDescent="0.2">
      <c r="A342" s="18"/>
      <c r="B342" s="18"/>
      <c r="C342" s="18"/>
      <c r="D342" s="115" t="s">
        <v>679</v>
      </c>
      <c r="E342" s="116"/>
      <c r="F342" s="115"/>
      <c r="G342" s="28">
        <v>136.19999999999999</v>
      </c>
      <c r="H342" s="32"/>
    </row>
    <row r="343" spans="1:8" ht="38.450000000000003" customHeight="1" x14ac:dyDescent="0.2">
      <c r="C343" s="23" t="s">
        <v>296</v>
      </c>
      <c r="D343" s="113" t="s">
        <v>676</v>
      </c>
      <c r="E343" s="114"/>
      <c r="F343" s="114"/>
      <c r="G343" s="114"/>
    </row>
    <row r="344" spans="1:8" x14ac:dyDescent="0.2">
      <c r="A344" s="20" t="s">
        <v>227</v>
      </c>
      <c r="B344" s="20" t="s">
        <v>7</v>
      </c>
      <c r="C344" s="20" t="s">
        <v>408</v>
      </c>
      <c r="D344" s="121" t="s">
        <v>680</v>
      </c>
      <c r="E344" s="122"/>
      <c r="F344" s="20" t="s">
        <v>785</v>
      </c>
      <c r="G344" s="29">
        <v>5.367</v>
      </c>
      <c r="H344" s="29">
        <v>0</v>
      </c>
    </row>
    <row r="345" spans="1:8" x14ac:dyDescent="0.2">
      <c r="A345" s="18" t="s">
        <v>228</v>
      </c>
      <c r="B345" s="18" t="s">
        <v>7</v>
      </c>
      <c r="C345" s="18" t="s">
        <v>409</v>
      </c>
      <c r="D345" s="111" t="s">
        <v>681</v>
      </c>
      <c r="E345" s="112"/>
      <c r="F345" s="18" t="s">
        <v>785</v>
      </c>
      <c r="G345" s="26">
        <v>5.367</v>
      </c>
      <c r="H345" s="26">
        <v>0</v>
      </c>
    </row>
    <row r="346" spans="1:8" ht="12.95" customHeight="1" x14ac:dyDescent="0.2">
      <c r="C346" s="23" t="s">
        <v>296</v>
      </c>
      <c r="D346" s="113" t="s">
        <v>682</v>
      </c>
      <c r="E346" s="114"/>
      <c r="F346" s="114"/>
      <c r="G346" s="114"/>
    </row>
    <row r="347" spans="1:8" x14ac:dyDescent="0.2">
      <c r="A347" s="18" t="s">
        <v>229</v>
      </c>
      <c r="B347" s="18" t="s">
        <v>7</v>
      </c>
      <c r="C347" s="18" t="s">
        <v>410</v>
      </c>
      <c r="D347" s="111" t="s">
        <v>683</v>
      </c>
      <c r="E347" s="112"/>
      <c r="F347" s="18" t="s">
        <v>785</v>
      </c>
      <c r="G347" s="26">
        <v>5.367</v>
      </c>
      <c r="H347" s="26">
        <v>0</v>
      </c>
    </row>
    <row r="348" spans="1:8" ht="25.7" customHeight="1" x14ac:dyDescent="0.2">
      <c r="C348" s="23" t="s">
        <v>296</v>
      </c>
      <c r="D348" s="113" t="s">
        <v>684</v>
      </c>
      <c r="E348" s="114"/>
      <c r="F348" s="114"/>
      <c r="G348" s="114"/>
    </row>
    <row r="349" spans="1:8" x14ac:dyDescent="0.2">
      <c r="A349" s="18" t="s">
        <v>230</v>
      </c>
      <c r="B349" s="18" t="s">
        <v>7</v>
      </c>
      <c r="C349" s="18" t="s">
        <v>411</v>
      </c>
      <c r="D349" s="111" t="s">
        <v>685</v>
      </c>
      <c r="E349" s="112"/>
      <c r="F349" s="18" t="s">
        <v>783</v>
      </c>
      <c r="G349" s="26">
        <v>153.9956</v>
      </c>
      <c r="H349" s="26">
        <v>0</v>
      </c>
    </row>
    <row r="350" spans="1:8" ht="12.2" customHeight="1" x14ac:dyDescent="0.2">
      <c r="A350" s="18"/>
      <c r="B350" s="18"/>
      <c r="C350" s="18"/>
      <c r="D350" s="115" t="s">
        <v>686</v>
      </c>
      <c r="E350" s="116"/>
      <c r="F350" s="115"/>
      <c r="G350" s="28">
        <v>52.097999999999999</v>
      </c>
      <c r="H350" s="32"/>
    </row>
    <row r="351" spans="1:8" ht="12.2" customHeight="1" x14ac:dyDescent="0.2">
      <c r="A351" s="18"/>
      <c r="B351" s="18"/>
      <c r="C351" s="18"/>
      <c r="D351" s="115" t="s">
        <v>687</v>
      </c>
      <c r="E351" s="116"/>
      <c r="F351" s="115"/>
      <c r="G351" s="28">
        <v>27.1296</v>
      </c>
      <c r="H351" s="32"/>
    </row>
    <row r="352" spans="1:8" ht="12.2" customHeight="1" x14ac:dyDescent="0.2">
      <c r="A352" s="18"/>
      <c r="B352" s="18"/>
      <c r="C352" s="18"/>
      <c r="D352" s="115" t="s">
        <v>688</v>
      </c>
      <c r="E352" s="116"/>
      <c r="F352" s="115"/>
      <c r="G352" s="28">
        <v>15.84</v>
      </c>
      <c r="H352" s="32"/>
    </row>
    <row r="353" spans="1:8" ht="12.2" customHeight="1" x14ac:dyDescent="0.2">
      <c r="A353" s="18"/>
      <c r="B353" s="18"/>
      <c r="C353" s="18"/>
      <c r="D353" s="115" t="s">
        <v>689</v>
      </c>
      <c r="E353" s="116"/>
      <c r="F353" s="115"/>
      <c r="G353" s="28">
        <v>26.928000000000001</v>
      </c>
      <c r="H353" s="32"/>
    </row>
    <row r="354" spans="1:8" ht="12.2" customHeight="1" x14ac:dyDescent="0.2">
      <c r="A354" s="18"/>
      <c r="B354" s="18"/>
      <c r="C354" s="18"/>
      <c r="D354" s="115" t="s">
        <v>690</v>
      </c>
      <c r="E354" s="116"/>
      <c r="F354" s="115"/>
      <c r="G354" s="28">
        <v>32</v>
      </c>
      <c r="H354" s="32"/>
    </row>
    <row r="355" spans="1:8" ht="25.7" customHeight="1" x14ac:dyDescent="0.2">
      <c r="C355" s="23" t="s">
        <v>296</v>
      </c>
      <c r="D355" s="113" t="s">
        <v>691</v>
      </c>
      <c r="E355" s="114"/>
      <c r="F355" s="114"/>
      <c r="G355" s="114"/>
    </row>
    <row r="356" spans="1:8" x14ac:dyDescent="0.2">
      <c r="A356" s="18" t="s">
        <v>231</v>
      </c>
      <c r="B356" s="18" t="s">
        <v>7</v>
      </c>
      <c r="C356" s="18" t="s">
        <v>412</v>
      </c>
      <c r="D356" s="111" t="s">
        <v>692</v>
      </c>
      <c r="E356" s="112"/>
      <c r="F356" s="18" t="s">
        <v>790</v>
      </c>
      <c r="G356" s="26">
        <v>1821.9103</v>
      </c>
      <c r="H356" s="26">
        <v>0</v>
      </c>
    </row>
    <row r="357" spans="1:8" x14ac:dyDescent="0.2">
      <c r="A357" s="19"/>
      <c r="B357" s="19"/>
      <c r="C357" s="19" t="s">
        <v>29</v>
      </c>
      <c r="D357" s="117" t="s">
        <v>58</v>
      </c>
      <c r="E357" s="118"/>
      <c r="F357" s="19"/>
      <c r="G357" s="27"/>
      <c r="H357" s="27"/>
    </row>
    <row r="358" spans="1:8" x14ac:dyDescent="0.2">
      <c r="A358" s="18" t="s">
        <v>232</v>
      </c>
      <c r="B358" s="18" t="s">
        <v>7</v>
      </c>
      <c r="C358" s="18" t="s">
        <v>413</v>
      </c>
      <c r="D358" s="111" t="s">
        <v>693</v>
      </c>
      <c r="E358" s="112"/>
      <c r="F358" s="18" t="s">
        <v>782</v>
      </c>
      <c r="G358" s="26">
        <v>14</v>
      </c>
      <c r="H358" s="26">
        <v>0</v>
      </c>
    </row>
    <row r="359" spans="1:8" x14ac:dyDescent="0.2">
      <c r="A359" s="18" t="s">
        <v>233</v>
      </c>
      <c r="B359" s="18" t="s">
        <v>7</v>
      </c>
      <c r="C359" s="18" t="s">
        <v>414</v>
      </c>
      <c r="D359" s="111" t="s">
        <v>694</v>
      </c>
      <c r="E359" s="112"/>
      <c r="F359" s="18" t="s">
        <v>782</v>
      </c>
      <c r="G359" s="26">
        <v>5.65</v>
      </c>
      <c r="H359" s="26">
        <v>0</v>
      </c>
    </row>
    <row r="360" spans="1:8" x14ac:dyDescent="0.2">
      <c r="A360" s="18" t="s">
        <v>234</v>
      </c>
      <c r="B360" s="18" t="s">
        <v>7</v>
      </c>
      <c r="C360" s="18" t="s">
        <v>415</v>
      </c>
      <c r="D360" s="111" t="s">
        <v>695</v>
      </c>
      <c r="E360" s="112"/>
      <c r="F360" s="18" t="s">
        <v>782</v>
      </c>
      <c r="G360" s="26">
        <v>15.8</v>
      </c>
      <c r="H360" s="26">
        <v>0</v>
      </c>
    </row>
    <row r="361" spans="1:8" x14ac:dyDescent="0.2">
      <c r="A361" s="18" t="s">
        <v>235</v>
      </c>
      <c r="B361" s="18" t="s">
        <v>7</v>
      </c>
      <c r="C361" s="18" t="s">
        <v>415</v>
      </c>
      <c r="D361" s="111" t="s">
        <v>696</v>
      </c>
      <c r="E361" s="112"/>
      <c r="F361" s="18" t="s">
        <v>782</v>
      </c>
      <c r="G361" s="26">
        <v>16.22</v>
      </c>
      <c r="H361" s="26">
        <v>0</v>
      </c>
    </row>
    <row r="362" spans="1:8" x14ac:dyDescent="0.2">
      <c r="A362" s="18" t="s">
        <v>236</v>
      </c>
      <c r="B362" s="18" t="s">
        <v>7</v>
      </c>
      <c r="C362" s="18" t="s">
        <v>416</v>
      </c>
      <c r="D362" s="111" t="s">
        <v>697</v>
      </c>
      <c r="E362" s="112"/>
      <c r="F362" s="18" t="s">
        <v>782</v>
      </c>
      <c r="G362" s="26">
        <v>12.59</v>
      </c>
      <c r="H362" s="26">
        <v>0</v>
      </c>
    </row>
    <row r="363" spans="1:8" x14ac:dyDescent="0.2">
      <c r="A363" s="18" t="s">
        <v>237</v>
      </c>
      <c r="B363" s="18" t="s">
        <v>7</v>
      </c>
      <c r="C363" s="18" t="s">
        <v>417</v>
      </c>
      <c r="D363" s="111" t="s">
        <v>698</v>
      </c>
      <c r="E363" s="112"/>
      <c r="F363" s="18" t="s">
        <v>784</v>
      </c>
      <c r="G363" s="26">
        <v>2</v>
      </c>
      <c r="H363" s="26">
        <v>0</v>
      </c>
    </row>
    <row r="364" spans="1:8" ht="12.95" customHeight="1" x14ac:dyDescent="0.2">
      <c r="C364" s="23" t="s">
        <v>296</v>
      </c>
      <c r="D364" s="113" t="s">
        <v>699</v>
      </c>
      <c r="E364" s="114"/>
      <c r="F364" s="114"/>
      <c r="G364" s="114"/>
    </row>
    <row r="365" spans="1:8" x14ac:dyDescent="0.2">
      <c r="A365" s="18" t="s">
        <v>238</v>
      </c>
      <c r="B365" s="18" t="s">
        <v>7</v>
      </c>
      <c r="C365" s="18" t="s">
        <v>418</v>
      </c>
      <c r="D365" s="111" t="s">
        <v>700</v>
      </c>
      <c r="E365" s="112"/>
      <c r="F365" s="18" t="s">
        <v>784</v>
      </c>
      <c r="G365" s="26">
        <v>4</v>
      </c>
      <c r="H365" s="26">
        <v>0</v>
      </c>
    </row>
    <row r="366" spans="1:8" x14ac:dyDescent="0.2">
      <c r="A366" s="18" t="s">
        <v>239</v>
      </c>
      <c r="B366" s="18" t="s">
        <v>7</v>
      </c>
      <c r="C366" s="18" t="s">
        <v>419</v>
      </c>
      <c r="D366" s="111" t="s">
        <v>701</v>
      </c>
      <c r="E366" s="112"/>
      <c r="F366" s="18" t="s">
        <v>782</v>
      </c>
      <c r="G366" s="26">
        <v>26.62</v>
      </c>
      <c r="H366" s="26">
        <v>0</v>
      </c>
    </row>
    <row r="367" spans="1:8" ht="12.2" customHeight="1" x14ac:dyDescent="0.2">
      <c r="A367" s="18"/>
      <c r="B367" s="18"/>
      <c r="C367" s="18"/>
      <c r="D367" s="115" t="s">
        <v>702</v>
      </c>
      <c r="E367" s="116"/>
      <c r="F367" s="115"/>
      <c r="G367" s="28">
        <v>26.62</v>
      </c>
      <c r="H367" s="32"/>
    </row>
    <row r="368" spans="1:8" ht="12.95" customHeight="1" x14ac:dyDescent="0.2">
      <c r="C368" s="23" t="s">
        <v>296</v>
      </c>
      <c r="D368" s="113" t="s">
        <v>703</v>
      </c>
      <c r="E368" s="114"/>
      <c r="F368" s="114"/>
      <c r="G368" s="114"/>
    </row>
    <row r="369" spans="1:8" x14ac:dyDescent="0.2">
      <c r="A369" s="18" t="s">
        <v>240</v>
      </c>
      <c r="B369" s="18" t="s">
        <v>7</v>
      </c>
      <c r="C369" s="18" t="s">
        <v>420</v>
      </c>
      <c r="D369" s="111" t="s">
        <v>704</v>
      </c>
      <c r="E369" s="112"/>
      <c r="F369" s="18" t="s">
        <v>790</v>
      </c>
      <c r="G369" s="26">
        <v>558.35090000000002</v>
      </c>
      <c r="H369" s="26">
        <v>0</v>
      </c>
    </row>
    <row r="370" spans="1:8" x14ac:dyDescent="0.2">
      <c r="A370" s="19"/>
      <c r="B370" s="19"/>
      <c r="C370" s="19" t="s">
        <v>30</v>
      </c>
      <c r="D370" s="117" t="s">
        <v>59</v>
      </c>
      <c r="E370" s="118"/>
      <c r="F370" s="19"/>
      <c r="G370" s="27"/>
      <c r="H370" s="27"/>
    </row>
    <row r="371" spans="1:8" x14ac:dyDescent="0.2">
      <c r="A371" s="18" t="s">
        <v>241</v>
      </c>
      <c r="B371" s="18" t="s">
        <v>7</v>
      </c>
      <c r="C371" s="18" t="s">
        <v>421</v>
      </c>
      <c r="D371" s="111" t="s">
        <v>705</v>
      </c>
      <c r="E371" s="112"/>
      <c r="F371" s="18" t="s">
        <v>783</v>
      </c>
      <c r="G371" s="26">
        <v>43.892000000000003</v>
      </c>
      <c r="H371" s="26">
        <v>0</v>
      </c>
    </row>
    <row r="372" spans="1:8" ht="38.450000000000003" customHeight="1" x14ac:dyDescent="0.2">
      <c r="C372" s="23" t="s">
        <v>296</v>
      </c>
      <c r="D372" s="113" t="s">
        <v>706</v>
      </c>
      <c r="E372" s="114"/>
      <c r="F372" s="114"/>
      <c r="G372" s="114"/>
    </row>
    <row r="373" spans="1:8" x14ac:dyDescent="0.2">
      <c r="A373" s="20" t="s">
        <v>242</v>
      </c>
      <c r="B373" s="20" t="s">
        <v>7</v>
      </c>
      <c r="C373" s="20" t="s">
        <v>422</v>
      </c>
      <c r="D373" s="121" t="s">
        <v>707</v>
      </c>
      <c r="E373" s="122"/>
      <c r="F373" s="20" t="s">
        <v>785</v>
      </c>
      <c r="G373" s="29">
        <v>1.20703</v>
      </c>
      <c r="H373" s="29">
        <v>0</v>
      </c>
    </row>
    <row r="374" spans="1:8" ht="12.2" customHeight="1" x14ac:dyDescent="0.2">
      <c r="A374" s="20"/>
      <c r="B374" s="20"/>
      <c r="C374" s="20"/>
      <c r="D374" s="119" t="s">
        <v>708</v>
      </c>
      <c r="E374" s="120"/>
      <c r="F374" s="119"/>
      <c r="G374" s="30">
        <v>1.20703</v>
      </c>
      <c r="H374" s="33"/>
    </row>
    <row r="375" spans="1:8" x14ac:dyDescent="0.2">
      <c r="A375" s="18" t="s">
        <v>243</v>
      </c>
      <c r="B375" s="18" t="s">
        <v>7</v>
      </c>
      <c r="C375" s="18" t="s">
        <v>423</v>
      </c>
      <c r="D375" s="111" t="s">
        <v>709</v>
      </c>
      <c r="E375" s="112"/>
      <c r="F375" s="18" t="s">
        <v>783</v>
      </c>
      <c r="G375" s="26">
        <v>43.892000000000003</v>
      </c>
      <c r="H375" s="26">
        <v>0</v>
      </c>
    </row>
    <row r="376" spans="1:8" ht="12.95" customHeight="1" x14ac:dyDescent="0.2">
      <c r="C376" s="23" t="s">
        <v>296</v>
      </c>
      <c r="D376" s="113" t="s">
        <v>710</v>
      </c>
      <c r="E376" s="114"/>
      <c r="F376" s="114"/>
      <c r="G376" s="114"/>
    </row>
    <row r="377" spans="1:8" x14ac:dyDescent="0.2">
      <c r="A377" s="18" t="s">
        <v>244</v>
      </c>
      <c r="B377" s="18" t="s">
        <v>7</v>
      </c>
      <c r="C377" s="18" t="s">
        <v>424</v>
      </c>
      <c r="D377" s="111" t="s">
        <v>711</v>
      </c>
      <c r="E377" s="112"/>
      <c r="F377" s="18" t="s">
        <v>783</v>
      </c>
      <c r="G377" s="26">
        <v>43.892000000000003</v>
      </c>
      <c r="H377" s="26">
        <v>0</v>
      </c>
    </row>
    <row r="378" spans="1:8" ht="12.95" customHeight="1" x14ac:dyDescent="0.2">
      <c r="C378" s="23" t="s">
        <v>296</v>
      </c>
      <c r="D378" s="113" t="s">
        <v>712</v>
      </c>
      <c r="E378" s="114"/>
      <c r="F378" s="114"/>
      <c r="G378" s="114"/>
    </row>
    <row r="379" spans="1:8" x14ac:dyDescent="0.2">
      <c r="A379" s="18" t="s">
        <v>245</v>
      </c>
      <c r="B379" s="18" t="s">
        <v>7</v>
      </c>
      <c r="C379" s="18" t="s">
        <v>425</v>
      </c>
      <c r="D379" s="111" t="s">
        <v>713</v>
      </c>
      <c r="E379" s="112"/>
      <c r="F379" s="18" t="s">
        <v>790</v>
      </c>
      <c r="G379" s="26">
        <v>578.03129999999999</v>
      </c>
      <c r="H379" s="26">
        <v>0</v>
      </c>
    </row>
    <row r="380" spans="1:8" x14ac:dyDescent="0.2">
      <c r="A380" s="19"/>
      <c r="B380" s="19"/>
      <c r="C380" s="19" t="s">
        <v>31</v>
      </c>
      <c r="D380" s="117" t="s">
        <v>60</v>
      </c>
      <c r="E380" s="118"/>
      <c r="F380" s="19"/>
      <c r="G380" s="27"/>
      <c r="H380" s="27"/>
    </row>
    <row r="381" spans="1:8" x14ac:dyDescent="0.2">
      <c r="A381" s="18" t="s">
        <v>246</v>
      </c>
      <c r="B381" s="18" t="s">
        <v>7</v>
      </c>
      <c r="C381" s="18" t="s">
        <v>426</v>
      </c>
      <c r="D381" s="111" t="s">
        <v>714</v>
      </c>
      <c r="E381" s="112"/>
      <c r="F381" s="18" t="s">
        <v>781</v>
      </c>
      <c r="G381" s="26">
        <v>8</v>
      </c>
      <c r="H381" s="26">
        <v>0</v>
      </c>
    </row>
    <row r="382" spans="1:8" ht="12.95" customHeight="1" x14ac:dyDescent="0.2">
      <c r="C382" s="22" t="s">
        <v>9</v>
      </c>
      <c r="D382" s="123" t="s">
        <v>715</v>
      </c>
      <c r="E382" s="124"/>
      <c r="F382" s="124"/>
      <c r="G382" s="124"/>
    </row>
    <row r="383" spans="1:8" x14ac:dyDescent="0.2">
      <c r="A383" s="18" t="s">
        <v>247</v>
      </c>
      <c r="B383" s="18" t="s">
        <v>7</v>
      </c>
      <c r="C383" s="18" t="s">
        <v>427</v>
      </c>
      <c r="D383" s="111" t="s">
        <v>716</v>
      </c>
      <c r="E383" s="112"/>
      <c r="F383" s="18" t="s">
        <v>781</v>
      </c>
      <c r="G383" s="26">
        <v>2</v>
      </c>
      <c r="H383" s="26">
        <v>0</v>
      </c>
    </row>
    <row r="384" spans="1:8" ht="12.95" customHeight="1" x14ac:dyDescent="0.2">
      <c r="C384" s="22" t="s">
        <v>9</v>
      </c>
      <c r="D384" s="123" t="s">
        <v>717</v>
      </c>
      <c r="E384" s="124"/>
      <c r="F384" s="124"/>
      <c r="G384" s="124"/>
    </row>
    <row r="385" spans="1:8" x14ac:dyDescent="0.2">
      <c r="A385" s="18" t="s">
        <v>248</v>
      </c>
      <c r="B385" s="18" t="s">
        <v>7</v>
      </c>
      <c r="C385" s="18" t="s">
        <v>428</v>
      </c>
      <c r="D385" s="111" t="s">
        <v>718</v>
      </c>
      <c r="E385" s="112"/>
      <c r="F385" s="18" t="s">
        <v>781</v>
      </c>
      <c r="G385" s="26">
        <v>7</v>
      </c>
      <c r="H385" s="26">
        <v>0</v>
      </c>
    </row>
    <row r="386" spans="1:8" ht="12.95" customHeight="1" x14ac:dyDescent="0.2">
      <c r="C386" s="22" t="s">
        <v>9</v>
      </c>
      <c r="D386" s="123" t="s">
        <v>719</v>
      </c>
      <c r="E386" s="124"/>
      <c r="F386" s="124"/>
      <c r="G386" s="124"/>
    </row>
    <row r="387" spans="1:8" x14ac:dyDescent="0.2">
      <c r="A387" s="18" t="s">
        <v>249</v>
      </c>
      <c r="B387" s="18" t="s">
        <v>7</v>
      </c>
      <c r="C387" s="18" t="s">
        <v>429</v>
      </c>
      <c r="D387" s="111" t="s">
        <v>720</v>
      </c>
      <c r="E387" s="112"/>
      <c r="F387" s="18" t="s">
        <v>781</v>
      </c>
      <c r="G387" s="26">
        <v>2</v>
      </c>
      <c r="H387" s="26">
        <v>0</v>
      </c>
    </row>
    <row r="388" spans="1:8" x14ac:dyDescent="0.2">
      <c r="A388" s="18" t="s">
        <v>250</v>
      </c>
      <c r="B388" s="18" t="s">
        <v>7</v>
      </c>
      <c r="C388" s="18" t="s">
        <v>430</v>
      </c>
      <c r="D388" s="111" t="s">
        <v>721</v>
      </c>
      <c r="E388" s="112"/>
      <c r="F388" s="18" t="s">
        <v>784</v>
      </c>
      <c r="G388" s="26">
        <v>1</v>
      </c>
      <c r="H388" s="26">
        <v>0</v>
      </c>
    </row>
    <row r="389" spans="1:8" x14ac:dyDescent="0.2">
      <c r="A389" s="18" t="s">
        <v>251</v>
      </c>
      <c r="B389" s="18" t="s">
        <v>7</v>
      </c>
      <c r="C389" s="18" t="s">
        <v>431</v>
      </c>
      <c r="D389" s="111" t="s">
        <v>722</v>
      </c>
      <c r="E389" s="112"/>
      <c r="F389" s="18" t="s">
        <v>782</v>
      </c>
      <c r="G389" s="26">
        <v>30.44</v>
      </c>
      <c r="H389" s="26">
        <v>0</v>
      </c>
    </row>
    <row r="390" spans="1:8" ht="12.2" customHeight="1" x14ac:dyDescent="0.2">
      <c r="A390" s="18"/>
      <c r="B390" s="18"/>
      <c r="C390" s="18"/>
      <c r="D390" s="115" t="s">
        <v>723</v>
      </c>
      <c r="E390" s="116"/>
      <c r="F390" s="115"/>
      <c r="G390" s="28">
        <v>30.44</v>
      </c>
      <c r="H390" s="32"/>
    </row>
    <row r="391" spans="1:8" x14ac:dyDescent="0.2">
      <c r="A391" s="18" t="s">
        <v>252</v>
      </c>
      <c r="B391" s="18" t="s">
        <v>7</v>
      </c>
      <c r="C391" s="18" t="s">
        <v>432</v>
      </c>
      <c r="D391" s="111" t="s">
        <v>724</v>
      </c>
      <c r="E391" s="112"/>
      <c r="F391" s="18" t="s">
        <v>787</v>
      </c>
      <c r="G391" s="26">
        <v>112.95</v>
      </c>
      <c r="H391" s="26">
        <v>0</v>
      </c>
    </row>
    <row r="392" spans="1:8" ht="12.2" customHeight="1" x14ac:dyDescent="0.2">
      <c r="A392" s="18"/>
      <c r="B392" s="18"/>
      <c r="C392" s="18"/>
      <c r="D392" s="115" t="s">
        <v>725</v>
      </c>
      <c r="E392" s="116"/>
      <c r="F392" s="115"/>
      <c r="G392" s="28">
        <v>112.95</v>
      </c>
      <c r="H392" s="32"/>
    </row>
    <row r="393" spans="1:8" x14ac:dyDescent="0.2">
      <c r="A393" s="20" t="s">
        <v>253</v>
      </c>
      <c r="B393" s="20" t="s">
        <v>7</v>
      </c>
      <c r="C393" s="20" t="s">
        <v>433</v>
      </c>
      <c r="D393" s="121" t="s">
        <v>726</v>
      </c>
      <c r="E393" s="122"/>
      <c r="F393" s="20" t="s">
        <v>786</v>
      </c>
      <c r="G393" s="29">
        <v>0.11294999999999999</v>
      </c>
      <c r="H393" s="29">
        <v>0</v>
      </c>
    </row>
    <row r="394" spans="1:8" ht="12.2" customHeight="1" x14ac:dyDescent="0.2">
      <c r="A394" s="20"/>
      <c r="B394" s="20"/>
      <c r="C394" s="20"/>
      <c r="D394" s="119" t="s">
        <v>727</v>
      </c>
      <c r="E394" s="120"/>
      <c r="F394" s="119"/>
      <c r="G394" s="30">
        <v>0.11294999999999999</v>
      </c>
      <c r="H394" s="33"/>
    </row>
    <row r="395" spans="1:8" ht="12.95" customHeight="1" x14ac:dyDescent="0.2">
      <c r="C395" s="23" t="s">
        <v>296</v>
      </c>
      <c r="D395" s="113" t="s">
        <v>728</v>
      </c>
      <c r="E395" s="114"/>
      <c r="F395" s="114"/>
      <c r="G395" s="114"/>
    </row>
    <row r="396" spans="1:8" x14ac:dyDescent="0.2">
      <c r="A396" s="18" t="s">
        <v>254</v>
      </c>
      <c r="B396" s="18" t="s">
        <v>7</v>
      </c>
      <c r="C396" s="18" t="s">
        <v>434</v>
      </c>
      <c r="D396" s="111" t="s">
        <v>729</v>
      </c>
      <c r="E396" s="112"/>
      <c r="F396" s="18" t="s">
        <v>787</v>
      </c>
      <c r="G396" s="26">
        <v>62.406999999999996</v>
      </c>
      <c r="H396" s="26">
        <v>0</v>
      </c>
    </row>
    <row r="397" spans="1:8" ht="12.2" customHeight="1" x14ac:dyDescent="0.2">
      <c r="A397" s="18"/>
      <c r="B397" s="18"/>
      <c r="C397" s="18"/>
      <c r="D397" s="115" t="s">
        <v>730</v>
      </c>
      <c r="E397" s="116"/>
      <c r="F397" s="115"/>
      <c r="G397" s="28">
        <v>42.6</v>
      </c>
      <c r="H397" s="32"/>
    </row>
    <row r="398" spans="1:8" ht="12.2" customHeight="1" x14ac:dyDescent="0.2">
      <c r="A398" s="18"/>
      <c r="B398" s="18"/>
      <c r="C398" s="18"/>
      <c r="D398" s="115" t="s">
        <v>731</v>
      </c>
      <c r="E398" s="116"/>
      <c r="F398" s="115"/>
      <c r="G398" s="28">
        <v>19.806999999999999</v>
      </c>
      <c r="H398" s="32"/>
    </row>
    <row r="399" spans="1:8" x14ac:dyDescent="0.2">
      <c r="A399" s="20" t="s">
        <v>255</v>
      </c>
      <c r="B399" s="20" t="s">
        <v>7</v>
      </c>
      <c r="C399" s="20" t="s">
        <v>435</v>
      </c>
      <c r="D399" s="121" t="s">
        <v>732</v>
      </c>
      <c r="E399" s="122"/>
      <c r="F399" s="20" t="s">
        <v>786</v>
      </c>
      <c r="G399" s="29">
        <v>6.8650000000000003E-2</v>
      </c>
      <c r="H399" s="29">
        <v>0</v>
      </c>
    </row>
    <row r="400" spans="1:8" ht="12.2" customHeight="1" x14ac:dyDescent="0.2">
      <c r="A400" s="20"/>
      <c r="B400" s="20"/>
      <c r="C400" s="20"/>
      <c r="D400" s="119" t="s">
        <v>733</v>
      </c>
      <c r="E400" s="120"/>
      <c r="F400" s="119"/>
      <c r="G400" s="30">
        <v>4.6859999999999999E-2</v>
      </c>
      <c r="H400" s="33"/>
    </row>
    <row r="401" spans="1:8" ht="12.2" customHeight="1" x14ac:dyDescent="0.2">
      <c r="A401" s="20"/>
      <c r="B401" s="20"/>
      <c r="C401" s="20"/>
      <c r="D401" s="119" t="s">
        <v>734</v>
      </c>
      <c r="E401" s="120"/>
      <c r="F401" s="119"/>
      <c r="G401" s="30">
        <v>2.179E-2</v>
      </c>
      <c r="H401" s="33"/>
    </row>
    <row r="402" spans="1:8" ht="25.7" customHeight="1" x14ac:dyDescent="0.2">
      <c r="C402" s="23" t="s">
        <v>296</v>
      </c>
      <c r="D402" s="113" t="s">
        <v>735</v>
      </c>
      <c r="E402" s="114"/>
      <c r="F402" s="114"/>
      <c r="G402" s="114"/>
    </row>
    <row r="403" spans="1:8" x14ac:dyDescent="0.2">
      <c r="A403" s="18" t="s">
        <v>256</v>
      </c>
      <c r="B403" s="18" t="s">
        <v>7</v>
      </c>
      <c r="C403" s="18" t="s">
        <v>436</v>
      </c>
      <c r="D403" s="111" t="s">
        <v>736</v>
      </c>
      <c r="E403" s="112"/>
      <c r="F403" s="18" t="s">
        <v>787</v>
      </c>
      <c r="G403" s="26">
        <v>85.747</v>
      </c>
      <c r="H403" s="26">
        <v>0</v>
      </c>
    </row>
    <row r="404" spans="1:8" ht="12.2" customHeight="1" x14ac:dyDescent="0.2">
      <c r="A404" s="18"/>
      <c r="B404" s="18"/>
      <c r="C404" s="18"/>
      <c r="D404" s="115" t="s">
        <v>737</v>
      </c>
      <c r="E404" s="116"/>
      <c r="F404" s="115"/>
      <c r="G404" s="28">
        <v>85.747</v>
      </c>
      <c r="H404" s="32"/>
    </row>
    <row r="405" spans="1:8" x14ac:dyDescent="0.2">
      <c r="A405" s="20" t="s">
        <v>257</v>
      </c>
      <c r="B405" s="20" t="s">
        <v>7</v>
      </c>
      <c r="C405" s="20" t="s">
        <v>437</v>
      </c>
      <c r="D405" s="121" t="s">
        <v>738</v>
      </c>
      <c r="E405" s="122"/>
      <c r="F405" s="20" t="s">
        <v>786</v>
      </c>
      <c r="G405" s="29">
        <v>9.4320000000000001E-2</v>
      </c>
      <c r="H405" s="29">
        <v>0</v>
      </c>
    </row>
    <row r="406" spans="1:8" ht="12.2" customHeight="1" x14ac:dyDescent="0.2">
      <c r="A406" s="20"/>
      <c r="B406" s="20"/>
      <c r="C406" s="20"/>
      <c r="D406" s="119" t="s">
        <v>739</v>
      </c>
      <c r="E406" s="120"/>
      <c r="F406" s="119"/>
      <c r="G406" s="30">
        <v>9.4320000000000001E-2</v>
      </c>
      <c r="H406" s="33"/>
    </row>
    <row r="407" spans="1:8" ht="25.7" customHeight="1" x14ac:dyDescent="0.2">
      <c r="C407" s="23" t="s">
        <v>296</v>
      </c>
      <c r="D407" s="113" t="s">
        <v>740</v>
      </c>
      <c r="E407" s="114"/>
      <c r="F407" s="114"/>
      <c r="G407" s="114"/>
    </row>
    <row r="408" spans="1:8" x14ac:dyDescent="0.2">
      <c r="A408" s="18" t="s">
        <v>258</v>
      </c>
      <c r="B408" s="18" t="s">
        <v>7</v>
      </c>
      <c r="C408" s="18" t="s">
        <v>438</v>
      </c>
      <c r="D408" s="111" t="s">
        <v>741</v>
      </c>
      <c r="E408" s="112"/>
      <c r="F408" s="18" t="s">
        <v>787</v>
      </c>
      <c r="G408" s="26">
        <v>354.94400000000002</v>
      </c>
      <c r="H408" s="26">
        <v>0</v>
      </c>
    </row>
    <row r="409" spans="1:8" ht="12.2" customHeight="1" x14ac:dyDescent="0.2">
      <c r="A409" s="18"/>
      <c r="B409" s="18"/>
      <c r="C409" s="18"/>
      <c r="D409" s="115" t="s">
        <v>742</v>
      </c>
      <c r="E409" s="116"/>
      <c r="F409" s="115"/>
      <c r="G409" s="28">
        <v>354.94400000000002</v>
      </c>
      <c r="H409" s="32"/>
    </row>
    <row r="410" spans="1:8" x14ac:dyDescent="0.2">
      <c r="A410" s="18" t="s">
        <v>259</v>
      </c>
      <c r="B410" s="18" t="s">
        <v>7</v>
      </c>
      <c r="C410" s="18" t="s">
        <v>439</v>
      </c>
      <c r="D410" s="111" t="s">
        <v>743</v>
      </c>
      <c r="E410" s="112"/>
      <c r="F410" s="18" t="s">
        <v>787</v>
      </c>
      <c r="G410" s="26">
        <v>789.6</v>
      </c>
      <c r="H410" s="26">
        <v>0</v>
      </c>
    </row>
    <row r="411" spans="1:8" ht="12.2" customHeight="1" x14ac:dyDescent="0.2">
      <c r="A411" s="18"/>
      <c r="B411" s="18"/>
      <c r="C411" s="18"/>
      <c r="D411" s="115" t="s">
        <v>744</v>
      </c>
      <c r="E411" s="116"/>
      <c r="F411" s="115"/>
      <c r="G411" s="28">
        <v>789.6</v>
      </c>
      <c r="H411" s="32"/>
    </row>
    <row r="412" spans="1:8" x14ac:dyDescent="0.2">
      <c r="A412" s="20" t="s">
        <v>260</v>
      </c>
      <c r="B412" s="20" t="s">
        <v>7</v>
      </c>
      <c r="C412" s="20" t="s">
        <v>440</v>
      </c>
      <c r="D412" s="121" t="s">
        <v>745</v>
      </c>
      <c r="E412" s="122"/>
      <c r="F412" s="20" t="s">
        <v>786</v>
      </c>
      <c r="G412" s="29">
        <v>1.2589999999999999</v>
      </c>
      <c r="H412" s="29">
        <v>0</v>
      </c>
    </row>
    <row r="413" spans="1:8" ht="12.2" customHeight="1" x14ac:dyDescent="0.2">
      <c r="A413" s="20"/>
      <c r="B413" s="20"/>
      <c r="C413" s="20"/>
      <c r="D413" s="119" t="s">
        <v>746</v>
      </c>
      <c r="E413" s="120"/>
      <c r="F413" s="119"/>
      <c r="G413" s="30">
        <v>0.86856</v>
      </c>
      <c r="H413" s="33"/>
    </row>
    <row r="414" spans="1:8" ht="12.2" customHeight="1" x14ac:dyDescent="0.2">
      <c r="A414" s="20"/>
      <c r="B414" s="20"/>
      <c r="C414" s="20"/>
      <c r="D414" s="119" t="s">
        <v>747</v>
      </c>
      <c r="E414" s="120"/>
      <c r="F414" s="119"/>
      <c r="G414" s="30">
        <v>0.39044000000000001</v>
      </c>
      <c r="H414" s="33"/>
    </row>
    <row r="415" spans="1:8" ht="25.7" customHeight="1" x14ac:dyDescent="0.2">
      <c r="C415" s="23" t="s">
        <v>296</v>
      </c>
      <c r="D415" s="113" t="s">
        <v>748</v>
      </c>
      <c r="E415" s="114"/>
      <c r="F415" s="114"/>
      <c r="G415" s="114"/>
    </row>
    <row r="416" spans="1:8" x14ac:dyDescent="0.2">
      <c r="A416" s="18" t="s">
        <v>261</v>
      </c>
      <c r="B416" s="18" t="s">
        <v>7</v>
      </c>
      <c r="C416" s="18" t="s">
        <v>441</v>
      </c>
      <c r="D416" s="111" t="s">
        <v>749</v>
      </c>
      <c r="E416" s="112"/>
      <c r="F416" s="18" t="s">
        <v>790</v>
      </c>
      <c r="G416" s="26">
        <v>2272.7516000000001</v>
      </c>
      <c r="H416" s="26">
        <v>0</v>
      </c>
    </row>
    <row r="417" spans="1:8" x14ac:dyDescent="0.2">
      <c r="A417" s="19"/>
      <c r="B417" s="19"/>
      <c r="C417" s="19" t="s">
        <v>32</v>
      </c>
      <c r="D417" s="117" t="s">
        <v>61</v>
      </c>
      <c r="E417" s="118"/>
      <c r="F417" s="19"/>
      <c r="G417" s="27"/>
      <c r="H417" s="27"/>
    </row>
    <row r="418" spans="1:8" x14ac:dyDescent="0.2">
      <c r="A418" s="18" t="s">
        <v>262</v>
      </c>
      <c r="B418" s="18" t="s">
        <v>7</v>
      </c>
      <c r="C418" s="18" t="s">
        <v>442</v>
      </c>
      <c r="D418" s="111" t="s">
        <v>750</v>
      </c>
      <c r="E418" s="112"/>
      <c r="F418" s="18" t="s">
        <v>783</v>
      </c>
      <c r="G418" s="26">
        <v>153.9956</v>
      </c>
      <c r="H418" s="26">
        <v>0</v>
      </c>
    </row>
    <row r="419" spans="1:8" ht="12.2" customHeight="1" x14ac:dyDescent="0.2">
      <c r="A419" s="18"/>
      <c r="B419" s="18"/>
      <c r="C419" s="18"/>
      <c r="D419" s="115" t="s">
        <v>686</v>
      </c>
      <c r="E419" s="116"/>
      <c r="F419" s="115"/>
      <c r="G419" s="28">
        <v>52.097999999999999</v>
      </c>
      <c r="H419" s="32"/>
    </row>
    <row r="420" spans="1:8" ht="12.2" customHeight="1" x14ac:dyDescent="0.2">
      <c r="A420" s="18"/>
      <c r="B420" s="18"/>
      <c r="C420" s="18"/>
      <c r="D420" s="115" t="s">
        <v>687</v>
      </c>
      <c r="E420" s="116"/>
      <c r="F420" s="115"/>
      <c r="G420" s="28">
        <v>27.1296</v>
      </c>
      <c r="H420" s="32"/>
    </row>
    <row r="421" spans="1:8" ht="12.2" customHeight="1" x14ac:dyDescent="0.2">
      <c r="A421" s="18"/>
      <c r="B421" s="18"/>
      <c r="C421" s="18"/>
      <c r="D421" s="115" t="s">
        <v>688</v>
      </c>
      <c r="E421" s="116"/>
      <c r="F421" s="115"/>
      <c r="G421" s="28">
        <v>15.84</v>
      </c>
      <c r="H421" s="32"/>
    </row>
    <row r="422" spans="1:8" ht="12.2" customHeight="1" x14ac:dyDescent="0.2">
      <c r="A422" s="18"/>
      <c r="B422" s="18"/>
      <c r="C422" s="18"/>
      <c r="D422" s="115" t="s">
        <v>689</v>
      </c>
      <c r="E422" s="116"/>
      <c r="F422" s="115"/>
      <c r="G422" s="28">
        <v>26.928000000000001</v>
      </c>
      <c r="H422" s="32"/>
    </row>
    <row r="423" spans="1:8" ht="12.2" customHeight="1" x14ac:dyDescent="0.2">
      <c r="A423" s="18"/>
      <c r="B423" s="18"/>
      <c r="C423" s="18"/>
      <c r="D423" s="115" t="s">
        <v>690</v>
      </c>
      <c r="E423" s="116"/>
      <c r="F423" s="115"/>
      <c r="G423" s="28">
        <v>32</v>
      </c>
      <c r="H423" s="32"/>
    </row>
    <row r="424" spans="1:8" ht="25.7" customHeight="1" x14ac:dyDescent="0.2">
      <c r="C424" s="23" t="s">
        <v>296</v>
      </c>
      <c r="D424" s="113" t="s">
        <v>751</v>
      </c>
      <c r="E424" s="114"/>
      <c r="F424" s="114"/>
      <c r="G424" s="114"/>
    </row>
    <row r="425" spans="1:8" x14ac:dyDescent="0.2">
      <c r="A425" s="18" t="s">
        <v>263</v>
      </c>
      <c r="B425" s="18" t="s">
        <v>7</v>
      </c>
      <c r="C425" s="18" t="s">
        <v>443</v>
      </c>
      <c r="D425" s="111" t="s">
        <v>752</v>
      </c>
      <c r="E425" s="112"/>
      <c r="F425" s="18" t="s">
        <v>783</v>
      </c>
      <c r="G425" s="26">
        <v>24.638400000000001</v>
      </c>
      <c r="H425" s="26">
        <v>0</v>
      </c>
    </row>
    <row r="426" spans="1:8" ht="12.2" customHeight="1" x14ac:dyDescent="0.2">
      <c r="A426" s="18"/>
      <c r="B426" s="18"/>
      <c r="C426" s="18"/>
      <c r="D426" s="115" t="s">
        <v>753</v>
      </c>
      <c r="E426" s="116"/>
      <c r="F426" s="115"/>
      <c r="G426" s="28">
        <v>1.08</v>
      </c>
      <c r="H426" s="32"/>
    </row>
    <row r="427" spans="1:8" ht="12.2" customHeight="1" x14ac:dyDescent="0.2">
      <c r="A427" s="18"/>
      <c r="B427" s="18"/>
      <c r="C427" s="18"/>
      <c r="D427" s="115" t="s">
        <v>754</v>
      </c>
      <c r="E427" s="116"/>
      <c r="F427" s="115"/>
      <c r="G427" s="28">
        <v>19.4816</v>
      </c>
      <c r="H427" s="32"/>
    </row>
    <row r="428" spans="1:8" ht="12.2" customHeight="1" x14ac:dyDescent="0.2">
      <c r="A428" s="18"/>
      <c r="B428" s="18"/>
      <c r="C428" s="18"/>
      <c r="D428" s="115" t="s">
        <v>755</v>
      </c>
      <c r="E428" s="116"/>
      <c r="F428" s="115"/>
      <c r="G428" s="28">
        <v>3.5728</v>
      </c>
      <c r="H428" s="32"/>
    </row>
    <row r="429" spans="1:8" ht="12.2" customHeight="1" x14ac:dyDescent="0.2">
      <c r="A429" s="18"/>
      <c r="B429" s="18"/>
      <c r="C429" s="18"/>
      <c r="D429" s="115" t="s">
        <v>756</v>
      </c>
      <c r="E429" s="116"/>
      <c r="F429" s="115"/>
      <c r="G429" s="28">
        <v>0.504</v>
      </c>
      <c r="H429" s="32"/>
    </row>
    <row r="430" spans="1:8" x14ac:dyDescent="0.2">
      <c r="A430" s="19"/>
      <c r="B430" s="19"/>
      <c r="C430" s="19" t="s">
        <v>33</v>
      </c>
      <c r="D430" s="117" t="s">
        <v>62</v>
      </c>
      <c r="E430" s="118"/>
      <c r="F430" s="19"/>
      <c r="G430" s="27"/>
      <c r="H430" s="27"/>
    </row>
    <row r="431" spans="1:8" x14ac:dyDescent="0.2">
      <c r="A431" s="18" t="s">
        <v>264</v>
      </c>
      <c r="B431" s="18" t="s">
        <v>7</v>
      </c>
      <c r="C431" s="18" t="s">
        <v>444</v>
      </c>
      <c r="D431" s="111" t="s">
        <v>757</v>
      </c>
      <c r="E431" s="112"/>
      <c r="F431" s="18" t="s">
        <v>784</v>
      </c>
      <c r="G431" s="26">
        <v>5</v>
      </c>
      <c r="H431" s="26">
        <v>0</v>
      </c>
    </row>
    <row r="432" spans="1:8" x14ac:dyDescent="0.2">
      <c r="A432" s="18" t="s">
        <v>265</v>
      </c>
      <c r="B432" s="18" t="s">
        <v>7</v>
      </c>
      <c r="C432" s="18" t="s">
        <v>445</v>
      </c>
      <c r="D432" s="111" t="s">
        <v>758</v>
      </c>
      <c r="E432" s="112"/>
      <c r="F432" s="18" t="s">
        <v>784</v>
      </c>
      <c r="G432" s="26">
        <v>1</v>
      </c>
      <c r="H432" s="26">
        <v>0</v>
      </c>
    </row>
    <row r="433" spans="1:8" x14ac:dyDescent="0.2">
      <c r="A433" s="18" t="s">
        <v>266</v>
      </c>
      <c r="B433" s="18" t="s">
        <v>7</v>
      </c>
      <c r="C433" s="18" t="s">
        <v>446</v>
      </c>
      <c r="D433" s="111" t="s">
        <v>759</v>
      </c>
      <c r="E433" s="112"/>
      <c r="F433" s="18" t="s">
        <v>784</v>
      </c>
      <c r="G433" s="26">
        <v>1</v>
      </c>
      <c r="H433" s="26">
        <v>0</v>
      </c>
    </row>
    <row r="434" spans="1:8" ht="25.7" customHeight="1" x14ac:dyDescent="0.2">
      <c r="C434" s="23" t="s">
        <v>296</v>
      </c>
      <c r="D434" s="113" t="s">
        <v>760</v>
      </c>
      <c r="E434" s="114"/>
      <c r="F434" s="114"/>
      <c r="G434" s="114"/>
    </row>
    <row r="435" spans="1:8" x14ac:dyDescent="0.2">
      <c r="A435" s="19"/>
      <c r="B435" s="19"/>
      <c r="C435" s="19" t="s">
        <v>34</v>
      </c>
      <c r="D435" s="117" t="s">
        <v>63</v>
      </c>
      <c r="E435" s="118"/>
      <c r="F435" s="19"/>
      <c r="G435" s="27"/>
      <c r="H435" s="27"/>
    </row>
    <row r="436" spans="1:8" x14ac:dyDescent="0.2">
      <c r="A436" s="18" t="s">
        <v>267</v>
      </c>
      <c r="B436" s="18" t="s">
        <v>8</v>
      </c>
      <c r="C436" s="18" t="s">
        <v>447</v>
      </c>
      <c r="D436" s="111" t="s">
        <v>761</v>
      </c>
      <c r="E436" s="112"/>
      <c r="F436" s="18" t="s">
        <v>782</v>
      </c>
      <c r="G436" s="26">
        <v>75.5</v>
      </c>
      <c r="H436" s="26">
        <v>0</v>
      </c>
    </row>
    <row r="437" spans="1:8" x14ac:dyDescent="0.2">
      <c r="A437" s="18" t="s">
        <v>268</v>
      </c>
      <c r="B437" s="18" t="s">
        <v>7</v>
      </c>
      <c r="C437" s="18" t="s">
        <v>447</v>
      </c>
      <c r="D437" s="111" t="s">
        <v>761</v>
      </c>
      <c r="E437" s="112"/>
      <c r="F437" s="18" t="s">
        <v>782</v>
      </c>
      <c r="G437" s="26">
        <v>187.5</v>
      </c>
      <c r="H437" s="26">
        <v>0</v>
      </c>
    </row>
    <row r="438" spans="1:8" x14ac:dyDescent="0.2">
      <c r="A438" s="18" t="s">
        <v>269</v>
      </c>
      <c r="B438" s="18" t="s">
        <v>7</v>
      </c>
      <c r="C438" s="18" t="s">
        <v>448</v>
      </c>
      <c r="D438" s="111" t="s">
        <v>762</v>
      </c>
      <c r="E438" s="112"/>
      <c r="F438" s="18" t="s">
        <v>782</v>
      </c>
      <c r="G438" s="26">
        <v>295.85000000000002</v>
      </c>
      <c r="H438" s="26">
        <v>0</v>
      </c>
    </row>
    <row r="439" spans="1:8" ht="12.2" customHeight="1" x14ac:dyDescent="0.2">
      <c r="A439" s="18"/>
      <c r="B439" s="18"/>
      <c r="C439" s="18"/>
      <c r="D439" s="115" t="s">
        <v>763</v>
      </c>
      <c r="E439" s="116"/>
      <c r="F439" s="115"/>
      <c r="G439" s="28">
        <v>295.85000000000002</v>
      </c>
      <c r="H439" s="32"/>
    </row>
    <row r="440" spans="1:8" ht="12.95" customHeight="1" x14ac:dyDescent="0.2">
      <c r="C440" s="23" t="s">
        <v>296</v>
      </c>
      <c r="D440" s="113" t="s">
        <v>764</v>
      </c>
      <c r="E440" s="114"/>
      <c r="F440" s="114"/>
      <c r="G440" s="114"/>
    </row>
    <row r="441" spans="1:8" x14ac:dyDescent="0.2">
      <c r="A441" s="20" t="s">
        <v>270</v>
      </c>
      <c r="B441" s="20" t="s">
        <v>7</v>
      </c>
      <c r="C441" s="20" t="s">
        <v>449</v>
      </c>
      <c r="D441" s="121" t="s">
        <v>765</v>
      </c>
      <c r="E441" s="122"/>
      <c r="F441" s="20" t="s">
        <v>784</v>
      </c>
      <c r="G441" s="29">
        <v>25</v>
      </c>
      <c r="H441" s="29">
        <v>0</v>
      </c>
    </row>
    <row r="442" spans="1:8" ht="12.2" customHeight="1" x14ac:dyDescent="0.2">
      <c r="A442" s="20"/>
      <c r="B442" s="20"/>
      <c r="C442" s="20"/>
      <c r="D442" s="119" t="s">
        <v>766</v>
      </c>
      <c r="E442" s="120"/>
      <c r="F442" s="119"/>
      <c r="G442" s="30">
        <v>25</v>
      </c>
      <c r="H442" s="33"/>
    </row>
    <row r="443" spans="1:8" ht="38.450000000000003" customHeight="1" x14ac:dyDescent="0.2">
      <c r="C443" s="23" t="s">
        <v>296</v>
      </c>
      <c r="D443" s="113" t="s">
        <v>767</v>
      </c>
      <c r="E443" s="114"/>
      <c r="F443" s="114"/>
      <c r="G443" s="114"/>
    </row>
    <row r="444" spans="1:8" x14ac:dyDescent="0.2">
      <c r="A444" s="19"/>
      <c r="B444" s="19"/>
      <c r="C444" s="19" t="s">
        <v>35</v>
      </c>
      <c r="D444" s="117" t="s">
        <v>64</v>
      </c>
      <c r="E444" s="118"/>
      <c r="F444" s="19"/>
      <c r="G444" s="27"/>
      <c r="H444" s="27"/>
    </row>
    <row r="445" spans="1:8" x14ac:dyDescent="0.2">
      <c r="A445" s="18" t="s">
        <v>271</v>
      </c>
      <c r="B445" s="18" t="s">
        <v>7</v>
      </c>
      <c r="C445" s="18" t="s">
        <v>450</v>
      </c>
      <c r="D445" s="111" t="s">
        <v>768</v>
      </c>
      <c r="E445" s="112"/>
      <c r="F445" s="18" t="s">
        <v>785</v>
      </c>
      <c r="G445" s="26">
        <v>13.9</v>
      </c>
      <c r="H445" s="26">
        <v>0</v>
      </c>
    </row>
    <row r="446" spans="1:8" ht="12.2" customHeight="1" x14ac:dyDescent="0.2">
      <c r="A446" s="18"/>
      <c r="B446" s="18"/>
      <c r="C446" s="18"/>
      <c r="D446" s="115" t="s">
        <v>769</v>
      </c>
      <c r="E446" s="116"/>
      <c r="F446" s="115"/>
      <c r="G446" s="28">
        <v>13.9</v>
      </c>
      <c r="H446" s="32"/>
    </row>
    <row r="447" spans="1:8" ht="38.450000000000003" customHeight="1" x14ac:dyDescent="0.2">
      <c r="C447" s="23" t="s">
        <v>296</v>
      </c>
      <c r="D447" s="113" t="s">
        <v>770</v>
      </c>
      <c r="E447" s="114"/>
      <c r="F447" s="114"/>
      <c r="G447" s="114"/>
    </row>
    <row r="448" spans="1:8" x14ac:dyDescent="0.2">
      <c r="A448" s="19"/>
      <c r="B448" s="19"/>
      <c r="C448" s="19" t="s">
        <v>36</v>
      </c>
      <c r="D448" s="117" t="s">
        <v>65</v>
      </c>
      <c r="E448" s="118"/>
      <c r="F448" s="19"/>
      <c r="G448" s="27"/>
      <c r="H448" s="27"/>
    </row>
    <row r="449" spans="1:8" x14ac:dyDescent="0.2">
      <c r="A449" s="18" t="s">
        <v>272</v>
      </c>
      <c r="B449" s="18" t="s">
        <v>7</v>
      </c>
      <c r="C449" s="18" t="s">
        <v>451</v>
      </c>
      <c r="D449" s="111" t="s">
        <v>771</v>
      </c>
      <c r="E449" s="112"/>
      <c r="F449" s="18" t="s">
        <v>786</v>
      </c>
      <c r="G449" s="26">
        <v>829.50376000000006</v>
      </c>
      <c r="H449" s="26">
        <v>0</v>
      </c>
    </row>
    <row r="450" spans="1:8" x14ac:dyDescent="0.2">
      <c r="A450" s="18" t="s">
        <v>273</v>
      </c>
      <c r="B450" s="18" t="s">
        <v>8</v>
      </c>
      <c r="C450" s="18" t="s">
        <v>451</v>
      </c>
      <c r="D450" s="111" t="s">
        <v>771</v>
      </c>
      <c r="E450" s="112"/>
      <c r="F450" s="18" t="s">
        <v>786</v>
      </c>
      <c r="G450" s="26">
        <v>447.90032000000002</v>
      </c>
      <c r="H450" s="26">
        <v>0</v>
      </c>
    </row>
    <row r="451" spans="1:8" x14ac:dyDescent="0.2">
      <c r="A451" s="19"/>
      <c r="B451" s="19"/>
      <c r="C451" s="19" t="s">
        <v>38</v>
      </c>
      <c r="D451" s="117" t="s">
        <v>68</v>
      </c>
      <c r="E451" s="118"/>
      <c r="F451" s="19"/>
      <c r="G451" s="27"/>
      <c r="H451" s="27"/>
    </row>
    <row r="452" spans="1:8" x14ac:dyDescent="0.2">
      <c r="A452" s="18" t="s">
        <v>274</v>
      </c>
      <c r="B452" s="18" t="s">
        <v>8</v>
      </c>
      <c r="C452" s="18" t="s">
        <v>452</v>
      </c>
      <c r="D452" s="111" t="s">
        <v>772</v>
      </c>
      <c r="E452" s="112"/>
      <c r="F452" s="18" t="s">
        <v>782</v>
      </c>
      <c r="G452" s="26">
        <v>5.0999999999999996</v>
      </c>
      <c r="H452" s="26">
        <v>0</v>
      </c>
    </row>
    <row r="453" spans="1:8" x14ac:dyDescent="0.2">
      <c r="A453" s="19"/>
      <c r="B453" s="19"/>
      <c r="C453" s="19" t="s">
        <v>37</v>
      </c>
      <c r="D453" s="117" t="s">
        <v>66</v>
      </c>
      <c r="E453" s="118"/>
      <c r="F453" s="19"/>
      <c r="G453" s="27"/>
      <c r="H453" s="27"/>
    </row>
    <row r="454" spans="1:8" x14ac:dyDescent="0.2">
      <c r="A454" s="18" t="s">
        <v>275</v>
      </c>
      <c r="B454" s="18" t="s">
        <v>7</v>
      </c>
      <c r="C454" s="18" t="s">
        <v>453</v>
      </c>
      <c r="D454" s="111" t="s">
        <v>773</v>
      </c>
      <c r="E454" s="112"/>
      <c r="F454" s="18" t="s">
        <v>786</v>
      </c>
      <c r="G454" s="26">
        <v>903.87149999999997</v>
      </c>
      <c r="H454" s="26">
        <v>0</v>
      </c>
    </row>
    <row r="455" spans="1:8" x14ac:dyDescent="0.2">
      <c r="A455" s="18" t="s">
        <v>276</v>
      </c>
      <c r="B455" s="18" t="s">
        <v>7</v>
      </c>
      <c r="C455" s="18" t="s">
        <v>454</v>
      </c>
      <c r="D455" s="111" t="s">
        <v>774</v>
      </c>
      <c r="E455" s="112"/>
      <c r="F455" s="18" t="s">
        <v>786</v>
      </c>
      <c r="G455" s="26">
        <v>18077.43</v>
      </c>
      <c r="H455" s="26">
        <v>0</v>
      </c>
    </row>
    <row r="456" spans="1:8" ht="12.2" customHeight="1" x14ac:dyDescent="0.2">
      <c r="A456" s="18"/>
      <c r="B456" s="18"/>
      <c r="C456" s="18"/>
      <c r="D456" s="115" t="s">
        <v>775</v>
      </c>
      <c r="E456" s="116"/>
      <c r="F456" s="115"/>
      <c r="G456" s="28">
        <v>18077.43</v>
      </c>
      <c r="H456" s="32"/>
    </row>
    <row r="457" spans="1:8" x14ac:dyDescent="0.2">
      <c r="A457" s="18" t="s">
        <v>277</v>
      </c>
      <c r="B457" s="18" t="s">
        <v>8</v>
      </c>
      <c r="C457" s="18" t="s">
        <v>453</v>
      </c>
      <c r="D457" s="111" t="s">
        <v>773</v>
      </c>
      <c r="E457" s="112"/>
      <c r="F457" s="18" t="s">
        <v>786</v>
      </c>
      <c r="G457" s="26">
        <v>373.291</v>
      </c>
      <c r="H457" s="26">
        <v>0</v>
      </c>
    </row>
    <row r="458" spans="1:8" x14ac:dyDescent="0.2">
      <c r="A458" s="18" t="s">
        <v>278</v>
      </c>
      <c r="B458" s="18" t="s">
        <v>8</v>
      </c>
      <c r="C458" s="18" t="s">
        <v>454</v>
      </c>
      <c r="D458" s="111" t="s">
        <v>774</v>
      </c>
      <c r="E458" s="112"/>
      <c r="F458" s="18" t="s">
        <v>786</v>
      </c>
      <c r="G458" s="26">
        <v>7465.82</v>
      </c>
      <c r="H458" s="26">
        <v>0</v>
      </c>
    </row>
    <row r="459" spans="1:8" ht="12.2" customHeight="1" x14ac:dyDescent="0.2">
      <c r="A459" s="18"/>
      <c r="B459" s="18"/>
      <c r="C459" s="18"/>
      <c r="D459" s="115" t="s">
        <v>776</v>
      </c>
      <c r="E459" s="116"/>
      <c r="F459" s="115"/>
      <c r="G459" s="28">
        <v>7465.82</v>
      </c>
      <c r="H459" s="32"/>
    </row>
    <row r="460" spans="1:8" x14ac:dyDescent="0.2">
      <c r="A460" s="18" t="s">
        <v>279</v>
      </c>
      <c r="B460" s="18" t="s">
        <v>7</v>
      </c>
      <c r="C460" s="18" t="s">
        <v>455</v>
      </c>
      <c r="D460" s="111" t="s">
        <v>777</v>
      </c>
      <c r="E460" s="112"/>
      <c r="F460" s="18" t="s">
        <v>786</v>
      </c>
      <c r="G460" s="26">
        <v>903.87149999999997</v>
      </c>
      <c r="H460" s="26">
        <v>0</v>
      </c>
    </row>
    <row r="461" spans="1:8" ht="12.95" customHeight="1" x14ac:dyDescent="0.2">
      <c r="C461" s="23" t="s">
        <v>296</v>
      </c>
      <c r="D461" s="113" t="s">
        <v>778</v>
      </c>
      <c r="E461" s="114"/>
      <c r="F461" s="114"/>
      <c r="G461" s="114"/>
    </row>
    <row r="462" spans="1:8" x14ac:dyDescent="0.2">
      <c r="A462" s="18" t="s">
        <v>280</v>
      </c>
      <c r="B462" s="18" t="s">
        <v>7</v>
      </c>
      <c r="C462" s="18" t="s">
        <v>456</v>
      </c>
      <c r="D462" s="111" t="s">
        <v>779</v>
      </c>
      <c r="E462" s="112"/>
      <c r="F462" s="18" t="s">
        <v>786</v>
      </c>
      <c r="G462" s="26">
        <v>903.87149999999997</v>
      </c>
      <c r="H462" s="26">
        <v>0</v>
      </c>
    </row>
    <row r="463" spans="1:8" x14ac:dyDescent="0.2">
      <c r="A463" s="18" t="s">
        <v>281</v>
      </c>
      <c r="B463" s="18" t="s">
        <v>8</v>
      </c>
      <c r="C463" s="18" t="s">
        <v>455</v>
      </c>
      <c r="D463" s="111" t="s">
        <v>777</v>
      </c>
      <c r="E463" s="112"/>
      <c r="F463" s="18" t="s">
        <v>786</v>
      </c>
      <c r="G463" s="26">
        <v>373.291</v>
      </c>
      <c r="H463" s="26">
        <v>0</v>
      </c>
    </row>
    <row r="464" spans="1:8" ht="12.95" customHeight="1" x14ac:dyDescent="0.2">
      <c r="C464" s="23" t="s">
        <v>296</v>
      </c>
      <c r="D464" s="113" t="s">
        <v>778</v>
      </c>
      <c r="E464" s="114"/>
      <c r="F464" s="114"/>
      <c r="G464" s="114"/>
    </row>
    <row r="465" spans="1:8" x14ac:dyDescent="0.2">
      <c r="A465" s="18" t="s">
        <v>282</v>
      </c>
      <c r="B465" s="18" t="s">
        <v>8</v>
      </c>
      <c r="C465" s="18" t="s">
        <v>456</v>
      </c>
      <c r="D465" s="111" t="s">
        <v>779</v>
      </c>
      <c r="E465" s="112"/>
      <c r="F465" s="18" t="s">
        <v>786</v>
      </c>
      <c r="G465" s="26">
        <v>373.291</v>
      </c>
      <c r="H465" s="26">
        <v>0</v>
      </c>
    </row>
    <row r="467" spans="1:8" ht="11.25" customHeight="1" x14ac:dyDescent="0.2">
      <c r="A467" s="7" t="s">
        <v>9</v>
      </c>
    </row>
    <row r="468" spans="1:8" ht="38.450000000000003" customHeight="1" x14ac:dyDescent="0.2">
      <c r="A468" s="87" t="s">
        <v>10</v>
      </c>
      <c r="B468" s="88"/>
      <c r="C468" s="88"/>
      <c r="D468" s="88"/>
      <c r="E468" s="88"/>
      <c r="F468" s="88"/>
      <c r="G468" s="88"/>
    </row>
  </sheetData>
  <sheetProtection password="C4B7" sheet="1" objects="1" scenarios="1"/>
  <mergeCells count="474">
    <mergeCell ref="A6:B7"/>
    <mergeCell ref="C6:D7"/>
    <mergeCell ref="E6:E7"/>
    <mergeCell ref="F6:H7"/>
    <mergeCell ref="A8:B9"/>
    <mergeCell ref="C8:D9"/>
    <mergeCell ref="E8:E9"/>
    <mergeCell ref="F8:H9"/>
    <mergeCell ref="A1:H1"/>
    <mergeCell ref="A2:B3"/>
    <mergeCell ref="C2:D3"/>
    <mergeCell ref="E2:E3"/>
    <mergeCell ref="F2:H3"/>
    <mergeCell ref="A4:B5"/>
    <mergeCell ref="C4:D5"/>
    <mergeCell ref="E4:E5"/>
    <mergeCell ref="F4:H5"/>
    <mergeCell ref="D16:E16"/>
    <mergeCell ref="D17:G17"/>
    <mergeCell ref="D18:E18"/>
    <mergeCell ref="D19:G19"/>
    <mergeCell ref="D20:E20"/>
    <mergeCell ref="D21:G21"/>
    <mergeCell ref="D10:E10"/>
    <mergeCell ref="D11:E11"/>
    <mergeCell ref="D12:E12"/>
    <mergeCell ref="D13:G13"/>
    <mergeCell ref="D14:E14"/>
    <mergeCell ref="D15:E15"/>
    <mergeCell ref="D28:E28"/>
    <mergeCell ref="D29:E29"/>
    <mergeCell ref="D30:G30"/>
    <mergeCell ref="D31:E31"/>
    <mergeCell ref="D32:G32"/>
    <mergeCell ref="D33:E33"/>
    <mergeCell ref="D22:E22"/>
    <mergeCell ref="D23:E23"/>
    <mergeCell ref="D24:E24"/>
    <mergeCell ref="D25:E25"/>
    <mergeCell ref="D26:G26"/>
    <mergeCell ref="D27:E27"/>
    <mergeCell ref="D40:E40"/>
    <mergeCell ref="D41:E41"/>
    <mergeCell ref="D42:E42"/>
    <mergeCell ref="D43:G43"/>
    <mergeCell ref="D44:E44"/>
    <mergeCell ref="D45:E45"/>
    <mergeCell ref="D34:G34"/>
    <mergeCell ref="D35:E35"/>
    <mergeCell ref="D36:E36"/>
    <mergeCell ref="D37:E37"/>
    <mergeCell ref="D38:E38"/>
    <mergeCell ref="D39:E39"/>
    <mergeCell ref="D52:E52"/>
    <mergeCell ref="D53:E53"/>
    <mergeCell ref="D54:E54"/>
    <mergeCell ref="D55:E55"/>
    <mergeCell ref="D56:F56"/>
    <mergeCell ref="D57:F57"/>
    <mergeCell ref="D46:E46"/>
    <mergeCell ref="D47:G47"/>
    <mergeCell ref="D48:E48"/>
    <mergeCell ref="D49:F49"/>
    <mergeCell ref="D50:F50"/>
    <mergeCell ref="D51:G51"/>
    <mergeCell ref="D64:F64"/>
    <mergeCell ref="D65:E65"/>
    <mergeCell ref="D66:G66"/>
    <mergeCell ref="D67:G67"/>
    <mergeCell ref="D68:G68"/>
    <mergeCell ref="D69:G69"/>
    <mergeCell ref="D58:G58"/>
    <mergeCell ref="D59:G59"/>
    <mergeCell ref="D60:G60"/>
    <mergeCell ref="D61:G61"/>
    <mergeCell ref="D62:E62"/>
    <mergeCell ref="D63:F63"/>
    <mergeCell ref="D76:E76"/>
    <mergeCell ref="D77:F77"/>
    <mergeCell ref="D78:F78"/>
    <mergeCell ref="D79:G79"/>
    <mergeCell ref="D80:E80"/>
    <mergeCell ref="D81:G81"/>
    <mergeCell ref="D70:E70"/>
    <mergeCell ref="D71:E71"/>
    <mergeCell ref="D72:G72"/>
    <mergeCell ref="D73:E73"/>
    <mergeCell ref="D74:G74"/>
    <mergeCell ref="D75:E75"/>
    <mergeCell ref="D88:E88"/>
    <mergeCell ref="D89:F89"/>
    <mergeCell ref="D90:E90"/>
    <mergeCell ref="D91:F91"/>
    <mergeCell ref="D92:F92"/>
    <mergeCell ref="D93:E93"/>
    <mergeCell ref="D82:E82"/>
    <mergeCell ref="D83:G83"/>
    <mergeCell ref="D84:E84"/>
    <mergeCell ref="D85:E85"/>
    <mergeCell ref="D86:F86"/>
    <mergeCell ref="D87:F87"/>
    <mergeCell ref="D100:E100"/>
    <mergeCell ref="D101:G101"/>
    <mergeCell ref="D102:E102"/>
    <mergeCell ref="D103:F103"/>
    <mergeCell ref="D104:E104"/>
    <mergeCell ref="D105:E105"/>
    <mergeCell ref="D94:E94"/>
    <mergeCell ref="D95:E95"/>
    <mergeCell ref="D96:E96"/>
    <mergeCell ref="D97:E97"/>
    <mergeCell ref="D98:F98"/>
    <mergeCell ref="D99:E99"/>
    <mergeCell ref="D112:E112"/>
    <mergeCell ref="D113:E113"/>
    <mergeCell ref="D114:F114"/>
    <mergeCell ref="D115:G115"/>
    <mergeCell ref="D116:E116"/>
    <mergeCell ref="D117:E117"/>
    <mergeCell ref="D106:F106"/>
    <mergeCell ref="D107:F107"/>
    <mergeCell ref="D108:F108"/>
    <mergeCell ref="D109:G109"/>
    <mergeCell ref="D110:E110"/>
    <mergeCell ref="D111:F111"/>
    <mergeCell ref="D124:F124"/>
    <mergeCell ref="D125:F125"/>
    <mergeCell ref="D126:F126"/>
    <mergeCell ref="D127:F127"/>
    <mergeCell ref="D128:F128"/>
    <mergeCell ref="D129:E129"/>
    <mergeCell ref="D118:F118"/>
    <mergeCell ref="D119:F119"/>
    <mergeCell ref="D120:G120"/>
    <mergeCell ref="D121:E121"/>
    <mergeCell ref="D122:F122"/>
    <mergeCell ref="D123:F123"/>
    <mergeCell ref="D136:F136"/>
    <mergeCell ref="D137:E137"/>
    <mergeCell ref="D138:F138"/>
    <mergeCell ref="D139:F139"/>
    <mergeCell ref="D140:G140"/>
    <mergeCell ref="D141:E141"/>
    <mergeCell ref="D130:F130"/>
    <mergeCell ref="D131:F131"/>
    <mergeCell ref="D132:F132"/>
    <mergeCell ref="D133:F133"/>
    <mergeCell ref="D134:F134"/>
    <mergeCell ref="D135:F135"/>
    <mergeCell ref="D148:F148"/>
    <mergeCell ref="D149:E149"/>
    <mergeCell ref="D150:G150"/>
    <mergeCell ref="D151:E151"/>
    <mergeCell ref="D152:F152"/>
    <mergeCell ref="D153:G153"/>
    <mergeCell ref="D142:F142"/>
    <mergeCell ref="D143:F143"/>
    <mergeCell ref="D144:F144"/>
    <mergeCell ref="D145:F145"/>
    <mergeCell ref="D146:F146"/>
    <mergeCell ref="D147:F147"/>
    <mergeCell ref="D160:G160"/>
    <mergeCell ref="D161:E161"/>
    <mergeCell ref="D162:F162"/>
    <mergeCell ref="D163:E163"/>
    <mergeCell ref="D164:F164"/>
    <mergeCell ref="D165:F165"/>
    <mergeCell ref="D154:E154"/>
    <mergeCell ref="D155:G155"/>
    <mergeCell ref="D156:E156"/>
    <mergeCell ref="D157:E157"/>
    <mergeCell ref="D158:E158"/>
    <mergeCell ref="D159:F159"/>
    <mergeCell ref="D172:F172"/>
    <mergeCell ref="D173:F173"/>
    <mergeCell ref="D174:F174"/>
    <mergeCell ref="D175:F175"/>
    <mergeCell ref="D176:F176"/>
    <mergeCell ref="D177:E177"/>
    <mergeCell ref="D166:G166"/>
    <mergeCell ref="D167:E167"/>
    <mergeCell ref="D168:F168"/>
    <mergeCell ref="D169:G169"/>
    <mergeCell ref="D170:E170"/>
    <mergeCell ref="D171:F171"/>
    <mergeCell ref="D184:F184"/>
    <mergeCell ref="D185:F185"/>
    <mergeCell ref="D186:F186"/>
    <mergeCell ref="D187:F187"/>
    <mergeCell ref="D188:F188"/>
    <mergeCell ref="D189:E189"/>
    <mergeCell ref="D178:F178"/>
    <mergeCell ref="D179:F179"/>
    <mergeCell ref="D180:F180"/>
    <mergeCell ref="D181:F181"/>
    <mergeCell ref="D182:F182"/>
    <mergeCell ref="D183:E183"/>
    <mergeCell ref="D196:F196"/>
    <mergeCell ref="D197:F197"/>
    <mergeCell ref="D198:F198"/>
    <mergeCell ref="D199:F199"/>
    <mergeCell ref="D200:F200"/>
    <mergeCell ref="D201:E201"/>
    <mergeCell ref="D190:F190"/>
    <mergeCell ref="D191:F191"/>
    <mergeCell ref="D192:F192"/>
    <mergeCell ref="D193:F193"/>
    <mergeCell ref="D194:F194"/>
    <mergeCell ref="D195:E195"/>
    <mergeCell ref="D208:E208"/>
    <mergeCell ref="D209:E209"/>
    <mergeCell ref="D210:E210"/>
    <mergeCell ref="D211:E211"/>
    <mergeCell ref="D212:F212"/>
    <mergeCell ref="D213:F213"/>
    <mergeCell ref="D202:F202"/>
    <mergeCell ref="D203:F203"/>
    <mergeCell ref="D204:F204"/>
    <mergeCell ref="D205:F205"/>
    <mergeCell ref="D206:F206"/>
    <mergeCell ref="D207:E207"/>
    <mergeCell ref="D220:E220"/>
    <mergeCell ref="D221:E221"/>
    <mergeCell ref="D222:E222"/>
    <mergeCell ref="D223:E223"/>
    <mergeCell ref="D224:E224"/>
    <mergeCell ref="D225:E225"/>
    <mergeCell ref="D214:F214"/>
    <mergeCell ref="D215:F215"/>
    <mergeCell ref="D216:F216"/>
    <mergeCell ref="D217:E217"/>
    <mergeCell ref="D218:E218"/>
    <mergeCell ref="D219:E219"/>
    <mergeCell ref="D232:E232"/>
    <mergeCell ref="D233:E233"/>
    <mergeCell ref="D234:E234"/>
    <mergeCell ref="D235:E235"/>
    <mergeCell ref="D236:E236"/>
    <mergeCell ref="D237:E237"/>
    <mergeCell ref="D226:E226"/>
    <mergeCell ref="D227:E227"/>
    <mergeCell ref="D228:E228"/>
    <mergeCell ref="D229:E229"/>
    <mergeCell ref="D230:E230"/>
    <mergeCell ref="D231:E231"/>
    <mergeCell ref="D244:E244"/>
    <mergeCell ref="D245:E245"/>
    <mergeCell ref="D246:E246"/>
    <mergeCell ref="D247:E247"/>
    <mergeCell ref="D248:E248"/>
    <mergeCell ref="D249:E249"/>
    <mergeCell ref="D238:E238"/>
    <mergeCell ref="D239:E239"/>
    <mergeCell ref="D240:E240"/>
    <mergeCell ref="D241:E241"/>
    <mergeCell ref="D242:E242"/>
    <mergeCell ref="D243:E243"/>
    <mergeCell ref="D256:E256"/>
    <mergeCell ref="D257:E257"/>
    <mergeCell ref="D258:E258"/>
    <mergeCell ref="D259:E259"/>
    <mergeCell ref="D260:E260"/>
    <mergeCell ref="D261:E261"/>
    <mergeCell ref="D250:E250"/>
    <mergeCell ref="D251:E251"/>
    <mergeCell ref="D252:E252"/>
    <mergeCell ref="D253:E253"/>
    <mergeCell ref="D254:E254"/>
    <mergeCell ref="D255:E255"/>
    <mergeCell ref="D268:E268"/>
    <mergeCell ref="D269:F269"/>
    <mergeCell ref="D270:F270"/>
    <mergeCell ref="D271:F271"/>
    <mergeCell ref="D272:F272"/>
    <mergeCell ref="D273:E273"/>
    <mergeCell ref="D262:E262"/>
    <mergeCell ref="D263:E263"/>
    <mergeCell ref="D264:F264"/>
    <mergeCell ref="D265:F265"/>
    <mergeCell ref="D266:F266"/>
    <mergeCell ref="D267:G267"/>
    <mergeCell ref="D280:G280"/>
    <mergeCell ref="D281:E281"/>
    <mergeCell ref="D282:E282"/>
    <mergeCell ref="D283:E283"/>
    <mergeCell ref="D284:E284"/>
    <mergeCell ref="D285:E285"/>
    <mergeCell ref="D274:F274"/>
    <mergeCell ref="D275:F275"/>
    <mergeCell ref="D276:F276"/>
    <mergeCell ref="D277:F277"/>
    <mergeCell ref="D278:E278"/>
    <mergeCell ref="D279:F279"/>
    <mergeCell ref="D292:F292"/>
    <mergeCell ref="D293:E293"/>
    <mergeCell ref="D294:E294"/>
    <mergeCell ref="D295:F295"/>
    <mergeCell ref="D296:E296"/>
    <mergeCell ref="D297:F297"/>
    <mergeCell ref="D286:E286"/>
    <mergeCell ref="D287:E287"/>
    <mergeCell ref="D288:E288"/>
    <mergeCell ref="D289:E289"/>
    <mergeCell ref="D290:F290"/>
    <mergeCell ref="D291:F291"/>
    <mergeCell ref="D304:E304"/>
    <mergeCell ref="D305:E305"/>
    <mergeCell ref="D306:E306"/>
    <mergeCell ref="D307:E307"/>
    <mergeCell ref="D308:E308"/>
    <mergeCell ref="D309:E309"/>
    <mergeCell ref="D298:G298"/>
    <mergeCell ref="D299:E299"/>
    <mergeCell ref="D300:E300"/>
    <mergeCell ref="D301:E301"/>
    <mergeCell ref="D302:E302"/>
    <mergeCell ref="D303:E303"/>
    <mergeCell ref="D316:E316"/>
    <mergeCell ref="D317:F317"/>
    <mergeCell ref="D318:G318"/>
    <mergeCell ref="D319:E319"/>
    <mergeCell ref="D320:E320"/>
    <mergeCell ref="D321:E321"/>
    <mergeCell ref="D310:F310"/>
    <mergeCell ref="D311:G311"/>
    <mergeCell ref="D312:E312"/>
    <mergeCell ref="D313:E313"/>
    <mergeCell ref="D314:F314"/>
    <mergeCell ref="D315:G315"/>
    <mergeCell ref="D328:E328"/>
    <mergeCell ref="D329:E329"/>
    <mergeCell ref="D330:E330"/>
    <mergeCell ref="D331:F331"/>
    <mergeCell ref="D332:G332"/>
    <mergeCell ref="D333:E333"/>
    <mergeCell ref="D322:G322"/>
    <mergeCell ref="D323:G323"/>
    <mergeCell ref="D324:E324"/>
    <mergeCell ref="D325:E325"/>
    <mergeCell ref="D326:G326"/>
    <mergeCell ref="D327:E327"/>
    <mergeCell ref="D340:G340"/>
    <mergeCell ref="D341:E341"/>
    <mergeCell ref="D342:F342"/>
    <mergeCell ref="D343:G343"/>
    <mergeCell ref="D344:E344"/>
    <mergeCell ref="D345:E345"/>
    <mergeCell ref="D334:E334"/>
    <mergeCell ref="D335:E335"/>
    <mergeCell ref="D336:E336"/>
    <mergeCell ref="D337:F337"/>
    <mergeCell ref="D338:G338"/>
    <mergeCell ref="D339:E339"/>
    <mergeCell ref="D352:F352"/>
    <mergeCell ref="D353:F353"/>
    <mergeCell ref="D354:F354"/>
    <mergeCell ref="D355:G355"/>
    <mergeCell ref="D356:E356"/>
    <mergeCell ref="D357:E357"/>
    <mergeCell ref="D346:G346"/>
    <mergeCell ref="D347:E347"/>
    <mergeCell ref="D348:G348"/>
    <mergeCell ref="D349:E349"/>
    <mergeCell ref="D350:F350"/>
    <mergeCell ref="D351:F351"/>
    <mergeCell ref="D364:G364"/>
    <mergeCell ref="D365:E365"/>
    <mergeCell ref="D366:E366"/>
    <mergeCell ref="D367:F367"/>
    <mergeCell ref="D368:G368"/>
    <mergeCell ref="D369:E369"/>
    <mergeCell ref="D358:E358"/>
    <mergeCell ref="D359:E359"/>
    <mergeCell ref="D360:E360"/>
    <mergeCell ref="D361:E361"/>
    <mergeCell ref="D362:E362"/>
    <mergeCell ref="D363:E363"/>
    <mergeCell ref="D376:G376"/>
    <mergeCell ref="D377:E377"/>
    <mergeCell ref="D378:G378"/>
    <mergeCell ref="D379:E379"/>
    <mergeCell ref="D380:E380"/>
    <mergeCell ref="D381:E381"/>
    <mergeCell ref="D370:E370"/>
    <mergeCell ref="D371:E371"/>
    <mergeCell ref="D372:G372"/>
    <mergeCell ref="D373:E373"/>
    <mergeCell ref="D374:F374"/>
    <mergeCell ref="D375:E375"/>
    <mergeCell ref="D388:E388"/>
    <mergeCell ref="D389:E389"/>
    <mergeCell ref="D390:F390"/>
    <mergeCell ref="D391:E391"/>
    <mergeCell ref="D392:F392"/>
    <mergeCell ref="D393:E393"/>
    <mergeCell ref="D382:G382"/>
    <mergeCell ref="D383:E383"/>
    <mergeCell ref="D384:G384"/>
    <mergeCell ref="D385:E385"/>
    <mergeCell ref="D386:G386"/>
    <mergeCell ref="D387:E387"/>
    <mergeCell ref="D400:F400"/>
    <mergeCell ref="D401:F401"/>
    <mergeCell ref="D402:G402"/>
    <mergeCell ref="D403:E403"/>
    <mergeCell ref="D404:F404"/>
    <mergeCell ref="D405:E405"/>
    <mergeCell ref="D394:F394"/>
    <mergeCell ref="D395:G395"/>
    <mergeCell ref="D396:E396"/>
    <mergeCell ref="D397:F397"/>
    <mergeCell ref="D398:F398"/>
    <mergeCell ref="D399:E399"/>
    <mergeCell ref="D412:E412"/>
    <mergeCell ref="D413:F413"/>
    <mergeCell ref="D414:F414"/>
    <mergeCell ref="D415:G415"/>
    <mergeCell ref="D416:E416"/>
    <mergeCell ref="D417:E417"/>
    <mergeCell ref="D406:F406"/>
    <mergeCell ref="D407:G407"/>
    <mergeCell ref="D408:E408"/>
    <mergeCell ref="D409:F409"/>
    <mergeCell ref="D410:E410"/>
    <mergeCell ref="D411:F411"/>
    <mergeCell ref="D424:G424"/>
    <mergeCell ref="D425:E425"/>
    <mergeCell ref="D426:F426"/>
    <mergeCell ref="D427:F427"/>
    <mergeCell ref="D428:F428"/>
    <mergeCell ref="D429:F429"/>
    <mergeCell ref="D418:E418"/>
    <mergeCell ref="D419:F419"/>
    <mergeCell ref="D420:F420"/>
    <mergeCell ref="D421:F421"/>
    <mergeCell ref="D422:F422"/>
    <mergeCell ref="D423:F423"/>
    <mergeCell ref="D436:E436"/>
    <mergeCell ref="D437:E437"/>
    <mergeCell ref="D438:E438"/>
    <mergeCell ref="D439:F439"/>
    <mergeCell ref="D440:G440"/>
    <mergeCell ref="D441:E441"/>
    <mergeCell ref="D430:E430"/>
    <mergeCell ref="D431:E431"/>
    <mergeCell ref="D432:E432"/>
    <mergeCell ref="D433:E433"/>
    <mergeCell ref="D434:G434"/>
    <mergeCell ref="D435:E435"/>
    <mergeCell ref="D448:E448"/>
    <mergeCell ref="D449:E449"/>
    <mergeCell ref="D450:E450"/>
    <mergeCell ref="D451:E451"/>
    <mergeCell ref="D452:E452"/>
    <mergeCell ref="D453:E453"/>
    <mergeCell ref="D442:F442"/>
    <mergeCell ref="D443:G443"/>
    <mergeCell ref="D444:E444"/>
    <mergeCell ref="D445:E445"/>
    <mergeCell ref="D446:F446"/>
    <mergeCell ref="D447:G447"/>
    <mergeCell ref="A468:G468"/>
    <mergeCell ref="D460:E460"/>
    <mergeCell ref="D461:G461"/>
    <mergeCell ref="D462:E462"/>
    <mergeCell ref="D463:E463"/>
    <mergeCell ref="D464:G464"/>
    <mergeCell ref="D465:E465"/>
    <mergeCell ref="D454:E454"/>
    <mergeCell ref="D455:E455"/>
    <mergeCell ref="D456:F456"/>
    <mergeCell ref="D457:E457"/>
    <mergeCell ref="D458:E458"/>
    <mergeCell ref="D459:F459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37"/>
  <sheetViews>
    <sheetView tabSelected="1" workbookViewId="0"/>
  </sheetViews>
  <sheetFormatPr defaultColWidth="11.5703125"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 x14ac:dyDescent="0.2">
      <c r="A1" s="82"/>
      <c r="B1" s="34"/>
      <c r="C1" s="152" t="s">
        <v>809</v>
      </c>
      <c r="D1" s="104"/>
      <c r="E1" s="104"/>
      <c r="F1" s="104"/>
      <c r="G1" s="104"/>
      <c r="H1" s="104"/>
      <c r="I1" s="104"/>
    </row>
    <row r="2" spans="1:10" x14ac:dyDescent="0.2">
      <c r="A2" s="105" t="s">
        <v>1</v>
      </c>
      <c r="B2" s="106"/>
      <c r="C2" s="107" t="str">
        <f>'Stavební rozpočet'!D2</f>
        <v>REVITALIZACE ZELENĚ A ÚPRAVA ZPEVNĚNÝCH PLOCH ZŠ MĚSTO ALBRECHTICE</v>
      </c>
      <c r="D2" s="86"/>
      <c r="E2" s="109" t="s">
        <v>73</v>
      </c>
      <c r="F2" s="109" t="str">
        <f>'Stavební rozpočet'!I2</f>
        <v>Město Albrechtice</v>
      </c>
      <c r="G2" s="106"/>
      <c r="H2" s="109" t="s">
        <v>833</v>
      </c>
      <c r="I2" s="153" t="s">
        <v>837</v>
      </c>
      <c r="J2" s="10"/>
    </row>
    <row r="3" spans="1:10" ht="25.7" customHeight="1" x14ac:dyDescent="0.2">
      <c r="A3" s="102"/>
      <c r="B3" s="88"/>
      <c r="C3" s="108"/>
      <c r="D3" s="108"/>
      <c r="E3" s="88"/>
      <c r="F3" s="88"/>
      <c r="G3" s="88"/>
      <c r="H3" s="88"/>
      <c r="I3" s="100"/>
      <c r="J3" s="10"/>
    </row>
    <row r="4" spans="1:10" x14ac:dyDescent="0.2">
      <c r="A4" s="97" t="s">
        <v>2</v>
      </c>
      <c r="B4" s="88"/>
      <c r="C4" s="87" t="str">
        <f>'Stavební rozpočet'!D4</f>
        <v xml:space="preserve"> </v>
      </c>
      <c r="D4" s="88"/>
      <c r="E4" s="87" t="s">
        <v>74</v>
      </c>
      <c r="F4" s="87" t="str">
        <f>'Stavební rozpočet'!I4</f>
        <v xml:space="preserve">Ing. Grigorios Akritidis_x000D_
</v>
      </c>
      <c r="G4" s="88"/>
      <c r="H4" s="87" t="s">
        <v>833</v>
      </c>
      <c r="I4" s="151" t="s">
        <v>838</v>
      </c>
      <c r="J4" s="10"/>
    </row>
    <row r="5" spans="1:10" x14ac:dyDescent="0.2">
      <c r="A5" s="102"/>
      <c r="B5" s="88"/>
      <c r="C5" s="88"/>
      <c r="D5" s="88"/>
      <c r="E5" s="88"/>
      <c r="F5" s="88"/>
      <c r="G5" s="88"/>
      <c r="H5" s="88"/>
      <c r="I5" s="100"/>
      <c r="J5" s="10"/>
    </row>
    <row r="6" spans="1:10" x14ac:dyDescent="0.2">
      <c r="A6" s="97" t="s">
        <v>3</v>
      </c>
      <c r="B6" s="88"/>
      <c r="C6" s="87" t="str">
        <f>'Stavební rozpočet'!D6</f>
        <v>Město Albrechtice</v>
      </c>
      <c r="D6" s="88"/>
      <c r="E6" s="87" t="s">
        <v>75</v>
      </c>
      <c r="F6" s="87" t="str">
        <f>'Stavební rozpočet'!I6</f>
        <v> </v>
      </c>
      <c r="G6" s="88"/>
      <c r="H6" s="87" t="s">
        <v>833</v>
      </c>
      <c r="I6" s="151"/>
      <c r="J6" s="10"/>
    </row>
    <row r="7" spans="1:10" x14ac:dyDescent="0.2">
      <c r="A7" s="102"/>
      <c r="B7" s="88"/>
      <c r="C7" s="88"/>
      <c r="D7" s="88"/>
      <c r="E7" s="88"/>
      <c r="F7" s="88"/>
      <c r="G7" s="88"/>
      <c r="H7" s="88"/>
      <c r="I7" s="100"/>
      <c r="J7" s="10"/>
    </row>
    <row r="8" spans="1:10" x14ac:dyDescent="0.2">
      <c r="A8" s="97" t="s">
        <v>70</v>
      </c>
      <c r="B8" s="88"/>
      <c r="C8" s="87" t="str">
        <f>'Stavební rozpočet'!G4</f>
        <v xml:space="preserve"> </v>
      </c>
      <c r="D8" s="88"/>
      <c r="E8" s="87" t="s">
        <v>71</v>
      </c>
      <c r="F8" s="87" t="str">
        <f>'Stavební rozpočet'!G6</f>
        <v xml:space="preserve"> </v>
      </c>
      <c r="G8" s="88"/>
      <c r="H8" s="89" t="s">
        <v>834</v>
      </c>
      <c r="I8" s="151" t="s">
        <v>839</v>
      </c>
      <c r="J8" s="10"/>
    </row>
    <row r="9" spans="1:10" x14ac:dyDescent="0.2">
      <c r="A9" s="102"/>
      <c r="B9" s="88"/>
      <c r="C9" s="88"/>
      <c r="D9" s="88"/>
      <c r="E9" s="88"/>
      <c r="F9" s="88"/>
      <c r="G9" s="88"/>
      <c r="H9" s="88"/>
      <c r="I9" s="100"/>
      <c r="J9" s="10"/>
    </row>
    <row r="10" spans="1:10" x14ac:dyDescent="0.2">
      <c r="A10" s="97" t="s">
        <v>4</v>
      </c>
      <c r="B10" s="88"/>
      <c r="C10" s="87" t="str">
        <f>'Stavební rozpočet'!D8</f>
        <v xml:space="preserve"> </v>
      </c>
      <c r="D10" s="88"/>
      <c r="E10" s="87" t="s">
        <v>76</v>
      </c>
      <c r="F10" s="87" t="str">
        <f>'Stavební rozpočet'!I8</f>
        <v>Kamil Beck</v>
      </c>
      <c r="G10" s="88"/>
      <c r="H10" s="89" t="s">
        <v>835</v>
      </c>
      <c r="I10" s="149" t="str">
        <f>'Stavební rozpočet'!G8</f>
        <v>02.08.2019</v>
      </c>
      <c r="J10" s="10"/>
    </row>
    <row r="11" spans="1:10" x14ac:dyDescent="0.2">
      <c r="A11" s="148"/>
      <c r="B11" s="84"/>
      <c r="C11" s="84"/>
      <c r="D11" s="84"/>
      <c r="E11" s="84"/>
      <c r="F11" s="84"/>
      <c r="G11" s="84"/>
      <c r="H11" s="84"/>
      <c r="I11" s="150"/>
      <c r="J11" s="10"/>
    </row>
    <row r="12" spans="1:10" ht="23.45" customHeight="1" x14ac:dyDescent="0.2">
      <c r="A12" s="144" t="s">
        <v>793</v>
      </c>
      <c r="B12" s="145"/>
      <c r="C12" s="145"/>
      <c r="D12" s="145"/>
      <c r="E12" s="145"/>
      <c r="F12" s="145"/>
      <c r="G12" s="145"/>
      <c r="H12" s="145"/>
      <c r="I12" s="145"/>
    </row>
    <row r="13" spans="1:10" ht="26.45" customHeight="1" x14ac:dyDescent="0.2">
      <c r="A13" s="35" t="s">
        <v>794</v>
      </c>
      <c r="B13" s="146" t="s">
        <v>806</v>
      </c>
      <c r="C13" s="147"/>
      <c r="D13" s="35" t="s">
        <v>810</v>
      </c>
      <c r="E13" s="146" t="s">
        <v>819</v>
      </c>
      <c r="F13" s="147"/>
      <c r="G13" s="35" t="s">
        <v>820</v>
      </c>
      <c r="H13" s="146" t="s">
        <v>836</v>
      </c>
      <c r="I13" s="147"/>
      <c r="J13" s="10"/>
    </row>
    <row r="14" spans="1:10" ht="15.2" customHeight="1" x14ac:dyDescent="0.2">
      <c r="A14" s="36" t="s">
        <v>795</v>
      </c>
      <c r="B14" s="40" t="s">
        <v>807</v>
      </c>
      <c r="C14" s="44">
        <f>SUM('Stavební rozpočet'!AB12:AB359)</f>
        <v>0</v>
      </c>
      <c r="D14" s="142" t="s">
        <v>811</v>
      </c>
      <c r="E14" s="143"/>
      <c r="F14" s="44">
        <v>0</v>
      </c>
      <c r="G14" s="142" t="s">
        <v>458</v>
      </c>
      <c r="H14" s="143"/>
      <c r="I14" s="44">
        <v>0</v>
      </c>
      <c r="J14" s="10"/>
    </row>
    <row r="15" spans="1:10" ht="15.2" customHeight="1" x14ac:dyDescent="0.2">
      <c r="A15" s="37"/>
      <c r="B15" s="40" t="s">
        <v>808</v>
      </c>
      <c r="C15" s="44">
        <f>SUM('Stavební rozpočet'!AC12:AC359)</f>
        <v>0</v>
      </c>
      <c r="D15" s="142" t="s">
        <v>812</v>
      </c>
      <c r="E15" s="143"/>
      <c r="F15" s="44">
        <v>0</v>
      </c>
      <c r="G15" s="142" t="s">
        <v>821</v>
      </c>
      <c r="H15" s="143"/>
      <c r="I15" s="44">
        <v>0</v>
      </c>
      <c r="J15" s="10"/>
    </row>
    <row r="16" spans="1:10" ht="15.2" customHeight="1" x14ac:dyDescent="0.2">
      <c r="A16" s="36" t="s">
        <v>796</v>
      </c>
      <c r="B16" s="40" t="s">
        <v>807</v>
      </c>
      <c r="C16" s="44">
        <f>SUM('Stavební rozpočet'!AD12:AD359)</f>
        <v>0</v>
      </c>
      <c r="D16" s="142" t="s">
        <v>813</v>
      </c>
      <c r="E16" s="143"/>
      <c r="F16" s="44">
        <v>0</v>
      </c>
      <c r="G16" s="142" t="s">
        <v>822</v>
      </c>
      <c r="H16" s="143"/>
      <c r="I16" s="44">
        <v>0</v>
      </c>
      <c r="J16" s="10"/>
    </row>
    <row r="17" spans="1:10" ht="15.2" customHeight="1" x14ac:dyDescent="0.2">
      <c r="A17" s="37"/>
      <c r="B17" s="40" t="s">
        <v>808</v>
      </c>
      <c r="C17" s="44">
        <f>SUM('Stavební rozpočet'!AE12:AE359)</f>
        <v>0</v>
      </c>
      <c r="D17" s="142"/>
      <c r="E17" s="143"/>
      <c r="F17" s="45"/>
      <c r="G17" s="142" t="s">
        <v>823</v>
      </c>
      <c r="H17" s="143"/>
      <c r="I17" s="44">
        <v>0</v>
      </c>
      <c r="J17" s="10"/>
    </row>
    <row r="18" spans="1:10" ht="15.2" customHeight="1" x14ac:dyDescent="0.2">
      <c r="A18" s="36" t="s">
        <v>797</v>
      </c>
      <c r="B18" s="40" t="s">
        <v>807</v>
      </c>
      <c r="C18" s="44">
        <f>SUM('Stavební rozpočet'!AF12:AF359)</f>
        <v>0</v>
      </c>
      <c r="D18" s="142"/>
      <c r="E18" s="143"/>
      <c r="F18" s="45"/>
      <c r="G18" s="142" t="s">
        <v>824</v>
      </c>
      <c r="H18" s="143"/>
      <c r="I18" s="44">
        <v>0</v>
      </c>
      <c r="J18" s="10"/>
    </row>
    <row r="19" spans="1:10" ht="15.2" customHeight="1" x14ac:dyDescent="0.2">
      <c r="A19" s="37"/>
      <c r="B19" s="40" t="s">
        <v>808</v>
      </c>
      <c r="C19" s="44">
        <f>SUM('Stavební rozpočet'!AG12:AG359)</f>
        <v>0</v>
      </c>
      <c r="D19" s="142"/>
      <c r="E19" s="143"/>
      <c r="F19" s="45"/>
      <c r="G19" s="142" t="s">
        <v>825</v>
      </c>
      <c r="H19" s="143"/>
      <c r="I19" s="44">
        <v>0</v>
      </c>
      <c r="J19" s="10"/>
    </row>
    <row r="20" spans="1:10" ht="15.2" customHeight="1" x14ac:dyDescent="0.2">
      <c r="A20" s="140" t="s">
        <v>798</v>
      </c>
      <c r="B20" s="141"/>
      <c r="C20" s="44">
        <f>SUM('Stavební rozpočet'!AH12:AH359)</f>
        <v>0</v>
      </c>
      <c r="D20" s="142"/>
      <c r="E20" s="143"/>
      <c r="F20" s="45"/>
      <c r="G20" s="142"/>
      <c r="H20" s="143"/>
      <c r="I20" s="45"/>
      <c r="J20" s="10"/>
    </row>
    <row r="21" spans="1:10" ht="15.2" customHeight="1" x14ac:dyDescent="0.2">
      <c r="A21" s="140" t="s">
        <v>799</v>
      </c>
      <c r="B21" s="141"/>
      <c r="C21" s="44">
        <f>SUM('Stavební rozpočet'!Z12:Z359)</f>
        <v>0</v>
      </c>
      <c r="D21" s="142"/>
      <c r="E21" s="143"/>
      <c r="F21" s="45"/>
      <c r="G21" s="142"/>
      <c r="H21" s="143"/>
      <c r="I21" s="45"/>
      <c r="J21" s="10"/>
    </row>
    <row r="22" spans="1:10" ht="16.7" customHeight="1" x14ac:dyDescent="0.2">
      <c r="A22" s="140" t="s">
        <v>800</v>
      </c>
      <c r="B22" s="141"/>
      <c r="C22" s="44">
        <f>SUM(C14:C21)</f>
        <v>0</v>
      </c>
      <c r="D22" s="140" t="s">
        <v>814</v>
      </c>
      <c r="E22" s="141"/>
      <c r="F22" s="44">
        <f>SUM(F14:F21)</f>
        <v>0</v>
      </c>
      <c r="G22" s="140" t="s">
        <v>826</v>
      </c>
      <c r="H22" s="141"/>
      <c r="I22" s="44">
        <f>SUM(I14:I21)</f>
        <v>0</v>
      </c>
      <c r="J22" s="10"/>
    </row>
    <row r="23" spans="1:10" ht="15.2" customHeight="1" x14ac:dyDescent="0.2">
      <c r="A23" s="6"/>
      <c r="B23" s="6"/>
      <c r="C23" s="42"/>
      <c r="D23" s="140" t="s">
        <v>815</v>
      </c>
      <c r="E23" s="141"/>
      <c r="F23" s="46">
        <v>0</v>
      </c>
      <c r="G23" s="140" t="s">
        <v>827</v>
      </c>
      <c r="H23" s="141"/>
      <c r="I23" s="44">
        <v>0</v>
      </c>
      <c r="J23" s="10"/>
    </row>
    <row r="24" spans="1:10" ht="15.2" customHeight="1" x14ac:dyDescent="0.2">
      <c r="D24" s="6"/>
      <c r="E24" s="6"/>
      <c r="F24" s="47"/>
      <c r="G24" s="140" t="s">
        <v>828</v>
      </c>
      <c r="H24" s="141"/>
      <c r="I24" s="49"/>
    </row>
    <row r="25" spans="1:10" ht="15.2" customHeight="1" x14ac:dyDescent="0.2">
      <c r="F25" s="48"/>
      <c r="G25" s="140" t="s">
        <v>829</v>
      </c>
      <c r="H25" s="141"/>
      <c r="I25" s="44">
        <v>0</v>
      </c>
      <c r="J25" s="10"/>
    </row>
    <row r="26" spans="1:10" x14ac:dyDescent="0.2">
      <c r="A26" s="34"/>
      <c r="B26" s="34"/>
      <c r="C26" s="34"/>
      <c r="G26" s="6"/>
      <c r="H26" s="6"/>
      <c r="I26" s="6"/>
    </row>
    <row r="27" spans="1:10" ht="15.2" customHeight="1" x14ac:dyDescent="0.2">
      <c r="A27" s="135" t="s">
        <v>801</v>
      </c>
      <c r="B27" s="136"/>
      <c r="C27" s="50">
        <f>SUM('Stavební rozpočet'!AJ12:AJ359)</f>
        <v>0</v>
      </c>
      <c r="D27" s="43"/>
      <c r="E27" s="34"/>
      <c r="F27" s="34"/>
      <c r="G27" s="34"/>
      <c r="H27" s="34"/>
      <c r="I27" s="34"/>
    </row>
    <row r="28" spans="1:10" ht="15.2" customHeight="1" x14ac:dyDescent="0.2">
      <c r="A28" s="135" t="s">
        <v>802</v>
      </c>
      <c r="B28" s="136"/>
      <c r="C28" s="50">
        <f>SUM('Stavební rozpočet'!AK12:AK359)</f>
        <v>0</v>
      </c>
      <c r="D28" s="135" t="s">
        <v>816</v>
      </c>
      <c r="E28" s="136"/>
      <c r="F28" s="50">
        <f>ROUND(C28*(15/100),2)</f>
        <v>0</v>
      </c>
      <c r="G28" s="135" t="s">
        <v>830</v>
      </c>
      <c r="H28" s="136"/>
      <c r="I28" s="50">
        <f>SUM(C27:C29)</f>
        <v>0</v>
      </c>
      <c r="J28" s="10"/>
    </row>
    <row r="29" spans="1:10" ht="15.2" customHeight="1" x14ac:dyDescent="0.2">
      <c r="A29" s="135" t="s">
        <v>803</v>
      </c>
      <c r="B29" s="136"/>
      <c r="C29" s="50">
        <f>SUM('Stavební rozpočet'!AL12:AL359)+(F22+I22+F23+I23+I24+I25)</f>
        <v>0</v>
      </c>
      <c r="D29" s="135" t="s">
        <v>817</v>
      </c>
      <c r="E29" s="136"/>
      <c r="F29" s="50">
        <f>ROUND(C29*(21/100),2)</f>
        <v>0</v>
      </c>
      <c r="G29" s="135" t="s">
        <v>831</v>
      </c>
      <c r="H29" s="136"/>
      <c r="I29" s="50">
        <f>SUM(F28:F29)+I28</f>
        <v>0</v>
      </c>
      <c r="J29" s="10"/>
    </row>
    <row r="30" spans="1:10" x14ac:dyDescent="0.2">
      <c r="A30" s="38"/>
      <c r="B30" s="38"/>
      <c r="C30" s="38"/>
      <c r="D30" s="38"/>
      <c r="E30" s="38"/>
      <c r="F30" s="38"/>
      <c r="G30" s="38"/>
      <c r="H30" s="38"/>
      <c r="I30" s="38"/>
    </row>
    <row r="31" spans="1:10" ht="14.45" customHeight="1" x14ac:dyDescent="0.2">
      <c r="A31" s="137" t="s">
        <v>804</v>
      </c>
      <c r="B31" s="138"/>
      <c r="C31" s="139"/>
      <c r="D31" s="137" t="s">
        <v>818</v>
      </c>
      <c r="E31" s="138"/>
      <c r="F31" s="139"/>
      <c r="G31" s="137" t="s">
        <v>832</v>
      </c>
      <c r="H31" s="138"/>
      <c r="I31" s="139"/>
      <c r="J31" s="11"/>
    </row>
    <row r="32" spans="1:10" ht="14.45" customHeight="1" x14ac:dyDescent="0.2">
      <c r="A32" s="129"/>
      <c r="B32" s="130"/>
      <c r="C32" s="131"/>
      <c r="D32" s="129"/>
      <c r="E32" s="130"/>
      <c r="F32" s="131"/>
      <c r="G32" s="129"/>
      <c r="H32" s="130"/>
      <c r="I32" s="131"/>
      <c r="J32" s="11"/>
    </row>
    <row r="33" spans="1:10" ht="14.45" customHeight="1" x14ac:dyDescent="0.2">
      <c r="A33" s="129"/>
      <c r="B33" s="130"/>
      <c r="C33" s="131"/>
      <c r="D33" s="129"/>
      <c r="E33" s="130"/>
      <c r="F33" s="131"/>
      <c r="G33" s="129"/>
      <c r="H33" s="130"/>
      <c r="I33" s="131"/>
      <c r="J33" s="11"/>
    </row>
    <row r="34" spans="1:10" ht="14.45" customHeight="1" x14ac:dyDescent="0.2">
      <c r="A34" s="129"/>
      <c r="B34" s="130"/>
      <c r="C34" s="131"/>
      <c r="D34" s="129"/>
      <c r="E34" s="130"/>
      <c r="F34" s="131"/>
      <c r="G34" s="129"/>
      <c r="H34" s="130"/>
      <c r="I34" s="131"/>
      <c r="J34" s="11"/>
    </row>
    <row r="35" spans="1:10" ht="14.45" customHeight="1" x14ac:dyDescent="0.2">
      <c r="A35" s="132" t="s">
        <v>805</v>
      </c>
      <c r="B35" s="133"/>
      <c r="C35" s="134"/>
      <c r="D35" s="132" t="s">
        <v>805</v>
      </c>
      <c r="E35" s="133"/>
      <c r="F35" s="134"/>
      <c r="G35" s="132" t="s">
        <v>805</v>
      </c>
      <c r="H35" s="133"/>
      <c r="I35" s="134"/>
      <c r="J35" s="11"/>
    </row>
    <row r="36" spans="1:10" ht="11.25" customHeight="1" x14ac:dyDescent="0.2">
      <c r="A36" s="39" t="s">
        <v>9</v>
      </c>
      <c r="B36" s="41"/>
      <c r="C36" s="41"/>
      <c r="D36" s="41"/>
      <c r="E36" s="41"/>
      <c r="F36" s="41"/>
      <c r="G36" s="41"/>
      <c r="H36" s="41"/>
      <c r="I36" s="41"/>
    </row>
    <row r="37" spans="1:10" ht="51.4" customHeight="1" x14ac:dyDescent="0.2">
      <c r="A37" s="87" t="s">
        <v>10</v>
      </c>
      <c r="B37" s="88"/>
      <c r="C37" s="88"/>
      <c r="D37" s="88"/>
      <c r="E37" s="88"/>
      <c r="F37" s="88"/>
      <c r="G37" s="88"/>
      <c r="H37" s="88"/>
      <c r="I37" s="88"/>
    </row>
  </sheetData>
  <sheetProtection password="C4B7" sheet="1" objects="1" scenarios="1"/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portrait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J362"/>
  <sheetViews>
    <sheetView workbookViewId="0">
      <pane ySplit="11" topLeftCell="A12" activePane="bottomLeft" state="frozenSplit"/>
      <selection pane="bottomLeft" sqref="A1:M1"/>
    </sheetView>
  </sheetViews>
  <sheetFormatPr defaultColWidth="11.5703125" defaultRowHeight="12.75" x14ac:dyDescent="0.2"/>
  <cols>
    <col min="1" max="1" width="3.7109375" customWidth="1"/>
    <col min="2" max="2" width="7.5703125" customWidth="1"/>
    <col min="3" max="3" width="14.28515625" customWidth="1"/>
    <col min="4" max="4" width="76.7109375" customWidth="1"/>
    <col min="9" max="9" width="6.42578125" customWidth="1"/>
    <col min="10" max="10" width="12.85546875" customWidth="1"/>
    <col min="11" max="11" width="12" customWidth="1"/>
    <col min="12" max="12" width="14.28515625" customWidth="1"/>
    <col min="13" max="13" width="11.7109375" customWidth="1"/>
    <col min="25" max="62" width="12.140625" hidden="1" customWidth="1"/>
  </cols>
  <sheetData>
    <row r="1" spans="1:62" ht="72.95" customHeight="1" x14ac:dyDescent="0.35">
      <c r="A1" s="103" t="s">
        <v>840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62" x14ac:dyDescent="0.2">
      <c r="A2" s="105" t="s">
        <v>1</v>
      </c>
      <c r="B2" s="106"/>
      <c r="C2" s="106"/>
      <c r="D2" s="107" t="s">
        <v>843</v>
      </c>
      <c r="E2" s="171" t="s">
        <v>69</v>
      </c>
      <c r="F2" s="106"/>
      <c r="G2" s="171" t="s">
        <v>5</v>
      </c>
      <c r="H2" s="109" t="s">
        <v>73</v>
      </c>
      <c r="I2" s="109" t="s">
        <v>844</v>
      </c>
      <c r="J2" s="106"/>
      <c r="K2" s="106"/>
      <c r="L2" s="106"/>
      <c r="M2" s="110"/>
      <c r="N2" s="10"/>
    </row>
    <row r="3" spans="1:62" x14ac:dyDescent="0.2">
      <c r="A3" s="102"/>
      <c r="B3" s="88"/>
      <c r="C3" s="88"/>
      <c r="D3" s="108"/>
      <c r="E3" s="88"/>
      <c r="F3" s="88"/>
      <c r="G3" s="88"/>
      <c r="H3" s="88"/>
      <c r="I3" s="88"/>
      <c r="J3" s="88"/>
      <c r="K3" s="88"/>
      <c r="L3" s="88"/>
      <c r="M3" s="100"/>
      <c r="N3" s="10"/>
    </row>
    <row r="4" spans="1:62" x14ac:dyDescent="0.2">
      <c r="A4" s="97" t="s">
        <v>2</v>
      </c>
      <c r="B4" s="88"/>
      <c r="C4" s="88"/>
      <c r="D4" s="87" t="s">
        <v>5</v>
      </c>
      <c r="E4" s="89" t="s">
        <v>70</v>
      </c>
      <c r="F4" s="88"/>
      <c r="G4" s="89" t="s">
        <v>5</v>
      </c>
      <c r="H4" s="87" t="s">
        <v>74</v>
      </c>
      <c r="I4" s="87" t="s">
        <v>867</v>
      </c>
      <c r="J4" s="88"/>
      <c r="K4" s="88"/>
      <c r="L4" s="88"/>
      <c r="M4" s="100"/>
      <c r="N4" s="10"/>
    </row>
    <row r="5" spans="1:62" x14ac:dyDescent="0.2">
      <c r="A5" s="102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100"/>
      <c r="N5" s="10"/>
    </row>
    <row r="6" spans="1:62" x14ac:dyDescent="0.2">
      <c r="A6" s="97" t="s">
        <v>3</v>
      </c>
      <c r="B6" s="88"/>
      <c r="C6" s="88"/>
      <c r="D6" s="87" t="s">
        <v>844</v>
      </c>
      <c r="E6" s="89" t="s">
        <v>71</v>
      </c>
      <c r="F6" s="88"/>
      <c r="G6" s="89" t="s">
        <v>5</v>
      </c>
      <c r="H6" s="87" t="s">
        <v>75</v>
      </c>
      <c r="I6" s="89" t="s">
        <v>868</v>
      </c>
      <c r="J6" s="88"/>
      <c r="K6" s="88"/>
      <c r="L6" s="167"/>
      <c r="M6" s="168"/>
      <c r="N6" s="10"/>
    </row>
    <row r="7" spans="1:62" x14ac:dyDescent="0.2">
      <c r="A7" s="102"/>
      <c r="B7" s="88"/>
      <c r="C7" s="88"/>
      <c r="D7" s="88"/>
      <c r="E7" s="88"/>
      <c r="F7" s="88"/>
      <c r="G7" s="88"/>
      <c r="H7" s="88"/>
      <c r="I7" s="88"/>
      <c r="J7" s="88"/>
      <c r="K7" s="88"/>
      <c r="L7" s="167"/>
      <c r="M7" s="168"/>
      <c r="N7" s="10"/>
    </row>
    <row r="8" spans="1:62" x14ac:dyDescent="0.2">
      <c r="A8" s="97" t="s">
        <v>4</v>
      </c>
      <c r="B8" s="88"/>
      <c r="C8" s="88"/>
      <c r="D8" s="87" t="s">
        <v>5</v>
      </c>
      <c r="E8" s="89" t="s">
        <v>72</v>
      </c>
      <c r="F8" s="88"/>
      <c r="G8" s="89" t="s">
        <v>866</v>
      </c>
      <c r="H8" s="87" t="s">
        <v>76</v>
      </c>
      <c r="I8" s="87" t="s">
        <v>869</v>
      </c>
      <c r="J8" s="88"/>
      <c r="K8" s="88"/>
      <c r="L8" s="167"/>
      <c r="M8" s="168"/>
      <c r="N8" s="10"/>
    </row>
    <row r="9" spans="1:62" x14ac:dyDescent="0.2">
      <c r="A9" s="98"/>
      <c r="B9" s="99"/>
      <c r="C9" s="99"/>
      <c r="D9" s="99"/>
      <c r="E9" s="99"/>
      <c r="F9" s="99"/>
      <c r="G9" s="99"/>
      <c r="H9" s="99"/>
      <c r="I9" s="99"/>
      <c r="J9" s="99"/>
      <c r="K9" s="99"/>
      <c r="L9" s="169"/>
      <c r="M9" s="170"/>
      <c r="N9" s="10"/>
    </row>
    <row r="10" spans="1:62" x14ac:dyDescent="0.2">
      <c r="A10" s="51" t="s">
        <v>84</v>
      </c>
      <c r="B10" s="57" t="s">
        <v>6</v>
      </c>
      <c r="C10" s="57" t="s">
        <v>11</v>
      </c>
      <c r="D10" s="162" t="s">
        <v>457</v>
      </c>
      <c r="E10" s="163"/>
      <c r="F10" s="163"/>
      <c r="G10" s="163"/>
      <c r="H10" s="164"/>
      <c r="I10" s="57" t="s">
        <v>780</v>
      </c>
      <c r="J10" s="63" t="s">
        <v>791</v>
      </c>
      <c r="K10" s="65" t="s">
        <v>870</v>
      </c>
      <c r="L10" s="8" t="s">
        <v>78</v>
      </c>
      <c r="M10" s="8" t="s">
        <v>872</v>
      </c>
      <c r="N10" s="11"/>
    </row>
    <row r="11" spans="1:62" x14ac:dyDescent="0.2">
      <c r="A11" s="52" t="s">
        <v>5</v>
      </c>
      <c r="B11" s="58" t="s">
        <v>5</v>
      </c>
      <c r="C11" s="58" t="s">
        <v>5</v>
      </c>
      <c r="D11" s="93" t="s">
        <v>845</v>
      </c>
      <c r="E11" s="94"/>
      <c r="F11" s="94"/>
      <c r="G11" s="94"/>
      <c r="H11" s="95"/>
      <c r="I11" s="58" t="s">
        <v>5</v>
      </c>
      <c r="J11" s="58" t="s">
        <v>5</v>
      </c>
      <c r="K11" s="66" t="s">
        <v>871</v>
      </c>
      <c r="L11" s="9" t="s">
        <v>79</v>
      </c>
      <c r="M11" s="74" t="s">
        <v>873</v>
      </c>
      <c r="N11" s="11"/>
      <c r="Z11" s="27" t="s">
        <v>877</v>
      </c>
      <c r="AA11" s="27" t="s">
        <v>878</v>
      </c>
      <c r="AB11" s="27" t="s">
        <v>879</v>
      </c>
      <c r="AC11" s="27" t="s">
        <v>880</v>
      </c>
      <c r="AD11" s="27" t="s">
        <v>881</v>
      </c>
      <c r="AE11" s="27" t="s">
        <v>882</v>
      </c>
      <c r="AF11" s="27" t="s">
        <v>883</v>
      </c>
      <c r="AG11" s="27" t="s">
        <v>884</v>
      </c>
      <c r="AH11" s="27" t="s">
        <v>885</v>
      </c>
      <c r="BH11" s="27" t="s">
        <v>930</v>
      </c>
      <c r="BI11" s="27" t="s">
        <v>931</v>
      </c>
      <c r="BJ11" s="27" t="s">
        <v>932</v>
      </c>
    </row>
    <row r="12" spans="1:62" x14ac:dyDescent="0.2">
      <c r="A12" s="53"/>
      <c r="B12" s="59" t="s">
        <v>7</v>
      </c>
      <c r="C12" s="59"/>
      <c r="D12" s="165" t="s">
        <v>40</v>
      </c>
      <c r="E12" s="166"/>
      <c r="F12" s="166"/>
      <c r="G12" s="166"/>
      <c r="H12" s="166"/>
      <c r="I12" s="53" t="s">
        <v>5</v>
      </c>
      <c r="J12" s="53" t="s">
        <v>5</v>
      </c>
      <c r="K12" s="67" t="s">
        <v>5</v>
      </c>
      <c r="L12" s="79">
        <f>L13+L28+L37+L46+L51+L58+L64+L67+L136+L143+L145+L147+L158+L165+L180+L183+L190+L207+L219+L229+L253+L258+L263+L270+L274+L276</f>
        <v>0</v>
      </c>
      <c r="M12" s="75"/>
    </row>
    <row r="13" spans="1:62" x14ac:dyDescent="0.2">
      <c r="A13" s="54"/>
      <c r="B13" s="19" t="s">
        <v>7</v>
      </c>
      <c r="C13" s="19" t="s">
        <v>12</v>
      </c>
      <c r="D13" s="117" t="s">
        <v>41</v>
      </c>
      <c r="E13" s="118"/>
      <c r="F13" s="118"/>
      <c r="G13" s="118"/>
      <c r="H13" s="118"/>
      <c r="I13" s="54" t="s">
        <v>5</v>
      </c>
      <c r="J13" s="54" t="s">
        <v>5</v>
      </c>
      <c r="K13" s="68" t="s">
        <v>5</v>
      </c>
      <c r="L13" s="80">
        <f>SUM(L14:L27)</f>
        <v>0</v>
      </c>
      <c r="M13" s="27"/>
      <c r="AI13" s="27" t="s">
        <v>7</v>
      </c>
      <c r="AS13" s="80">
        <f>SUM(AJ14:AJ27)</f>
        <v>0</v>
      </c>
      <c r="AT13" s="80">
        <f>SUM(AK14:AK27)</f>
        <v>0</v>
      </c>
      <c r="AU13" s="80">
        <f>SUM(AL14:AL27)</f>
        <v>0</v>
      </c>
    </row>
    <row r="14" spans="1:62" x14ac:dyDescent="0.2">
      <c r="A14" s="18" t="s">
        <v>85</v>
      </c>
      <c r="B14" s="18" t="s">
        <v>7</v>
      </c>
      <c r="C14" s="18" t="s">
        <v>283</v>
      </c>
      <c r="D14" s="111" t="s">
        <v>458</v>
      </c>
      <c r="E14" s="112"/>
      <c r="F14" s="112"/>
      <c r="G14" s="112"/>
      <c r="H14" s="112"/>
      <c r="I14" s="18" t="s">
        <v>781</v>
      </c>
      <c r="J14" s="26">
        <v>1</v>
      </c>
      <c r="K14" s="69">
        <v>0</v>
      </c>
      <c r="L14" s="26">
        <f>J14*K14</f>
        <v>0</v>
      </c>
      <c r="M14" s="32"/>
      <c r="Z14" s="12">
        <f>IF(AQ14="5",BJ14,0)</f>
        <v>0</v>
      </c>
      <c r="AB14" s="12">
        <f>IF(AQ14="1",BH14,0)</f>
        <v>0</v>
      </c>
      <c r="AC14" s="12">
        <f>IF(AQ14="1",BI14,0)</f>
        <v>0</v>
      </c>
      <c r="AD14" s="12">
        <f>IF(AQ14="7",BH14,0)</f>
        <v>0</v>
      </c>
      <c r="AE14" s="12">
        <f>IF(AQ14="7",BI14,0)</f>
        <v>0</v>
      </c>
      <c r="AF14" s="12">
        <f>IF(AQ14="2",BH14,0)</f>
        <v>0</v>
      </c>
      <c r="AG14" s="12">
        <f>IF(AQ14="2",BI14,0)</f>
        <v>0</v>
      </c>
      <c r="AH14" s="12">
        <f>IF(AQ14="0",BJ14,0)</f>
        <v>0</v>
      </c>
      <c r="AI14" s="27" t="s">
        <v>7</v>
      </c>
      <c r="AJ14" s="26">
        <f>IF(AN14=0,L14,0)</f>
        <v>0</v>
      </c>
      <c r="AK14" s="26">
        <f>IF(AN14=15,L14,0)</f>
        <v>0</v>
      </c>
      <c r="AL14" s="26">
        <f>IF(AN14=21,L14,0)</f>
        <v>0</v>
      </c>
      <c r="AN14" s="12">
        <v>21</v>
      </c>
      <c r="AO14" s="12">
        <f>K14*0</f>
        <v>0</v>
      </c>
      <c r="AP14" s="12">
        <f>K14*(1-0)</f>
        <v>0</v>
      </c>
      <c r="AQ14" s="32" t="s">
        <v>85</v>
      </c>
      <c r="AV14" s="12">
        <f>AW14+AX14</f>
        <v>0</v>
      </c>
      <c r="AW14" s="12">
        <f>J14*AO14</f>
        <v>0</v>
      </c>
      <c r="AX14" s="12">
        <f>J14*AP14</f>
        <v>0</v>
      </c>
      <c r="AY14" s="78" t="s">
        <v>886</v>
      </c>
      <c r="AZ14" s="78" t="s">
        <v>913</v>
      </c>
      <c r="BA14" s="27" t="s">
        <v>928</v>
      </c>
      <c r="BC14" s="12">
        <f>AW14+AX14</f>
        <v>0</v>
      </c>
      <c r="BD14" s="12">
        <f>K14/(100-BE14)*100</f>
        <v>0</v>
      </c>
      <c r="BE14" s="12">
        <v>0</v>
      </c>
      <c r="BF14" s="12">
        <f>14</f>
        <v>14</v>
      </c>
      <c r="BH14" s="26">
        <f>J14*AO14</f>
        <v>0</v>
      </c>
      <c r="BI14" s="26">
        <f>J14*AP14</f>
        <v>0</v>
      </c>
      <c r="BJ14" s="26">
        <f>J14*K14</f>
        <v>0</v>
      </c>
    </row>
    <row r="15" spans="1:62" ht="38.450000000000003" customHeight="1" x14ac:dyDescent="0.2">
      <c r="C15" s="61" t="s">
        <v>9</v>
      </c>
      <c r="D15" s="123" t="s">
        <v>459</v>
      </c>
      <c r="E15" s="124"/>
      <c r="F15" s="124"/>
      <c r="G15" s="124"/>
      <c r="H15" s="124"/>
      <c r="I15" s="124"/>
      <c r="J15" s="124"/>
      <c r="K15" s="159"/>
      <c r="L15" s="124"/>
      <c r="M15" s="124"/>
    </row>
    <row r="16" spans="1:62" x14ac:dyDescent="0.2">
      <c r="A16" s="18" t="s">
        <v>86</v>
      </c>
      <c r="B16" s="18" t="s">
        <v>7</v>
      </c>
      <c r="C16" s="18" t="s">
        <v>284</v>
      </c>
      <c r="D16" s="111" t="s">
        <v>460</v>
      </c>
      <c r="E16" s="112"/>
      <c r="F16" s="112"/>
      <c r="G16" s="112"/>
      <c r="H16" s="112"/>
      <c r="I16" s="18" t="s">
        <v>781</v>
      </c>
      <c r="J16" s="26">
        <v>1</v>
      </c>
      <c r="K16" s="69">
        <v>0</v>
      </c>
      <c r="L16" s="26">
        <f>J16*K16</f>
        <v>0</v>
      </c>
      <c r="M16" s="32"/>
      <c r="Z16" s="12">
        <f>IF(AQ16="5",BJ16,0)</f>
        <v>0</v>
      </c>
      <c r="AB16" s="12">
        <f>IF(AQ16="1",BH16,0)</f>
        <v>0</v>
      </c>
      <c r="AC16" s="12">
        <f>IF(AQ16="1",BI16,0)</f>
        <v>0</v>
      </c>
      <c r="AD16" s="12">
        <f>IF(AQ16="7",BH16,0)</f>
        <v>0</v>
      </c>
      <c r="AE16" s="12">
        <f>IF(AQ16="7",BI16,0)</f>
        <v>0</v>
      </c>
      <c r="AF16" s="12">
        <f>IF(AQ16="2",BH16,0)</f>
        <v>0</v>
      </c>
      <c r="AG16" s="12">
        <f>IF(AQ16="2",BI16,0)</f>
        <v>0</v>
      </c>
      <c r="AH16" s="12">
        <f>IF(AQ16="0",BJ16,0)</f>
        <v>0</v>
      </c>
      <c r="AI16" s="27" t="s">
        <v>7</v>
      </c>
      <c r="AJ16" s="26">
        <f>IF(AN16=0,L16,0)</f>
        <v>0</v>
      </c>
      <c r="AK16" s="26">
        <f>IF(AN16=15,L16,0)</f>
        <v>0</v>
      </c>
      <c r="AL16" s="26">
        <f>IF(AN16=21,L16,0)</f>
        <v>0</v>
      </c>
      <c r="AN16" s="12">
        <v>21</v>
      </c>
      <c r="AO16" s="12">
        <f>K16*0</f>
        <v>0</v>
      </c>
      <c r="AP16" s="12">
        <f>K16*(1-0)</f>
        <v>0</v>
      </c>
      <c r="AQ16" s="32" t="s">
        <v>85</v>
      </c>
      <c r="AV16" s="12">
        <f>AW16+AX16</f>
        <v>0</v>
      </c>
      <c r="AW16" s="12">
        <f>J16*AO16</f>
        <v>0</v>
      </c>
      <c r="AX16" s="12">
        <f>J16*AP16</f>
        <v>0</v>
      </c>
      <c r="AY16" s="78" t="s">
        <v>886</v>
      </c>
      <c r="AZ16" s="78" t="s">
        <v>913</v>
      </c>
      <c r="BA16" s="27" t="s">
        <v>928</v>
      </c>
      <c r="BC16" s="12">
        <f>AW16+AX16</f>
        <v>0</v>
      </c>
      <c r="BD16" s="12">
        <f>K16/(100-BE16)*100</f>
        <v>0</v>
      </c>
      <c r="BE16" s="12">
        <v>0</v>
      </c>
      <c r="BF16" s="12">
        <f>16</f>
        <v>16</v>
      </c>
      <c r="BH16" s="26">
        <f>J16*AO16</f>
        <v>0</v>
      </c>
      <c r="BI16" s="26">
        <f>J16*AP16</f>
        <v>0</v>
      </c>
      <c r="BJ16" s="26">
        <f>J16*K16</f>
        <v>0</v>
      </c>
    </row>
    <row r="17" spans="1:62" x14ac:dyDescent="0.2">
      <c r="A17" s="18" t="s">
        <v>87</v>
      </c>
      <c r="B17" s="18" t="s">
        <v>7</v>
      </c>
      <c r="C17" s="18" t="s">
        <v>284</v>
      </c>
      <c r="D17" s="111" t="s">
        <v>461</v>
      </c>
      <c r="E17" s="112"/>
      <c r="F17" s="112"/>
      <c r="G17" s="112"/>
      <c r="H17" s="112"/>
      <c r="I17" s="18" t="s">
        <v>781</v>
      </c>
      <c r="J17" s="26">
        <v>1</v>
      </c>
      <c r="K17" s="69">
        <v>0</v>
      </c>
      <c r="L17" s="26">
        <f>J17*K17</f>
        <v>0</v>
      </c>
      <c r="M17" s="32"/>
      <c r="Z17" s="12">
        <f>IF(AQ17="5",BJ17,0)</f>
        <v>0</v>
      </c>
      <c r="AB17" s="12">
        <f>IF(AQ17="1",BH17,0)</f>
        <v>0</v>
      </c>
      <c r="AC17" s="12">
        <f>IF(AQ17="1",BI17,0)</f>
        <v>0</v>
      </c>
      <c r="AD17" s="12">
        <f>IF(AQ17="7",BH17,0)</f>
        <v>0</v>
      </c>
      <c r="AE17" s="12">
        <f>IF(AQ17="7",BI17,0)</f>
        <v>0</v>
      </c>
      <c r="AF17" s="12">
        <f>IF(AQ17="2",BH17,0)</f>
        <v>0</v>
      </c>
      <c r="AG17" s="12">
        <f>IF(AQ17="2",BI17,0)</f>
        <v>0</v>
      </c>
      <c r="AH17" s="12">
        <f>IF(AQ17="0",BJ17,0)</f>
        <v>0</v>
      </c>
      <c r="AI17" s="27" t="s">
        <v>7</v>
      </c>
      <c r="AJ17" s="26">
        <f>IF(AN17=0,L17,0)</f>
        <v>0</v>
      </c>
      <c r="AK17" s="26">
        <f>IF(AN17=15,L17,0)</f>
        <v>0</v>
      </c>
      <c r="AL17" s="26">
        <f>IF(AN17=21,L17,0)</f>
        <v>0</v>
      </c>
      <c r="AN17" s="12">
        <v>21</v>
      </c>
      <c r="AO17" s="12">
        <f>K17*0</f>
        <v>0</v>
      </c>
      <c r="AP17" s="12">
        <f>K17*(1-0)</f>
        <v>0</v>
      </c>
      <c r="AQ17" s="32" t="s">
        <v>85</v>
      </c>
      <c r="AV17" s="12">
        <f>AW17+AX17</f>
        <v>0</v>
      </c>
      <c r="AW17" s="12">
        <f>J17*AO17</f>
        <v>0</v>
      </c>
      <c r="AX17" s="12">
        <f>J17*AP17</f>
        <v>0</v>
      </c>
      <c r="AY17" s="78" t="s">
        <v>886</v>
      </c>
      <c r="AZ17" s="78" t="s">
        <v>913</v>
      </c>
      <c r="BA17" s="27" t="s">
        <v>928</v>
      </c>
      <c r="BC17" s="12">
        <f>AW17+AX17</f>
        <v>0</v>
      </c>
      <c r="BD17" s="12">
        <f>K17/(100-BE17)*100</f>
        <v>0</v>
      </c>
      <c r="BE17" s="12">
        <v>0</v>
      </c>
      <c r="BF17" s="12">
        <f>17</f>
        <v>17</v>
      </c>
      <c r="BH17" s="26">
        <f>J17*AO17</f>
        <v>0</v>
      </c>
      <c r="BI17" s="26">
        <f>J17*AP17</f>
        <v>0</v>
      </c>
      <c r="BJ17" s="26">
        <f>J17*K17</f>
        <v>0</v>
      </c>
    </row>
    <row r="18" spans="1:62" x14ac:dyDescent="0.2">
      <c r="A18" s="18" t="s">
        <v>88</v>
      </c>
      <c r="B18" s="18" t="s">
        <v>7</v>
      </c>
      <c r="C18" s="18" t="s">
        <v>285</v>
      </c>
      <c r="D18" s="111" t="s">
        <v>462</v>
      </c>
      <c r="E18" s="112"/>
      <c r="F18" s="112"/>
      <c r="G18" s="112"/>
      <c r="H18" s="112"/>
      <c r="I18" s="18" t="s">
        <v>781</v>
      </c>
      <c r="J18" s="26">
        <v>1</v>
      </c>
      <c r="K18" s="69">
        <v>0</v>
      </c>
      <c r="L18" s="26">
        <f>J18*K18</f>
        <v>0</v>
      </c>
      <c r="M18" s="32"/>
      <c r="Z18" s="12">
        <f>IF(AQ18="5",BJ18,0)</f>
        <v>0</v>
      </c>
      <c r="AB18" s="12">
        <f>IF(AQ18="1",BH18,0)</f>
        <v>0</v>
      </c>
      <c r="AC18" s="12">
        <f>IF(AQ18="1",BI18,0)</f>
        <v>0</v>
      </c>
      <c r="AD18" s="12">
        <f>IF(AQ18="7",BH18,0)</f>
        <v>0</v>
      </c>
      <c r="AE18" s="12">
        <f>IF(AQ18="7",BI18,0)</f>
        <v>0</v>
      </c>
      <c r="AF18" s="12">
        <f>IF(AQ18="2",BH18,0)</f>
        <v>0</v>
      </c>
      <c r="AG18" s="12">
        <f>IF(AQ18="2",BI18,0)</f>
        <v>0</v>
      </c>
      <c r="AH18" s="12">
        <f>IF(AQ18="0",BJ18,0)</f>
        <v>0</v>
      </c>
      <c r="AI18" s="27" t="s">
        <v>7</v>
      </c>
      <c r="AJ18" s="26">
        <f>IF(AN18=0,L18,0)</f>
        <v>0</v>
      </c>
      <c r="AK18" s="26">
        <f>IF(AN18=15,L18,0)</f>
        <v>0</v>
      </c>
      <c r="AL18" s="26">
        <f>IF(AN18=21,L18,0)</f>
        <v>0</v>
      </c>
      <c r="AN18" s="12">
        <v>21</v>
      </c>
      <c r="AO18" s="12">
        <f>K18*0</f>
        <v>0</v>
      </c>
      <c r="AP18" s="12">
        <f>K18*(1-0)</f>
        <v>0</v>
      </c>
      <c r="AQ18" s="32" t="s">
        <v>85</v>
      </c>
      <c r="AV18" s="12">
        <f>AW18+AX18</f>
        <v>0</v>
      </c>
      <c r="AW18" s="12">
        <f>J18*AO18</f>
        <v>0</v>
      </c>
      <c r="AX18" s="12">
        <f>J18*AP18</f>
        <v>0</v>
      </c>
      <c r="AY18" s="78" t="s">
        <v>886</v>
      </c>
      <c r="AZ18" s="78" t="s">
        <v>913</v>
      </c>
      <c r="BA18" s="27" t="s">
        <v>928</v>
      </c>
      <c r="BC18" s="12">
        <f>AW18+AX18</f>
        <v>0</v>
      </c>
      <c r="BD18" s="12">
        <f>K18/(100-BE18)*100</f>
        <v>0</v>
      </c>
      <c r="BE18" s="12">
        <v>0</v>
      </c>
      <c r="BF18" s="12">
        <f>18</f>
        <v>18</v>
      </c>
      <c r="BH18" s="26">
        <f>J18*AO18</f>
        <v>0</v>
      </c>
      <c r="BI18" s="26">
        <f>J18*AP18</f>
        <v>0</v>
      </c>
      <c r="BJ18" s="26">
        <f>J18*K18</f>
        <v>0</v>
      </c>
    </row>
    <row r="19" spans="1:62" ht="115.5" customHeight="1" x14ac:dyDescent="0.2">
      <c r="C19" s="61" t="s">
        <v>9</v>
      </c>
      <c r="D19" s="123" t="s">
        <v>463</v>
      </c>
      <c r="E19" s="124"/>
      <c r="F19" s="124"/>
      <c r="G19" s="124"/>
      <c r="H19" s="124"/>
      <c r="I19" s="124"/>
      <c r="J19" s="124"/>
      <c r="K19" s="159"/>
      <c r="L19" s="124"/>
      <c r="M19" s="124"/>
    </row>
    <row r="20" spans="1:62" x14ac:dyDescent="0.2">
      <c r="A20" s="18" t="s">
        <v>89</v>
      </c>
      <c r="B20" s="18" t="s">
        <v>7</v>
      </c>
      <c r="C20" s="18" t="s">
        <v>286</v>
      </c>
      <c r="D20" s="111" t="s">
        <v>464</v>
      </c>
      <c r="E20" s="112"/>
      <c r="F20" s="112"/>
      <c r="G20" s="112"/>
      <c r="H20" s="112"/>
      <c r="I20" s="18" t="s">
        <v>781</v>
      </c>
      <c r="J20" s="26">
        <v>1</v>
      </c>
      <c r="K20" s="69">
        <v>0</v>
      </c>
      <c r="L20" s="26">
        <f>J20*K20</f>
        <v>0</v>
      </c>
      <c r="M20" s="32"/>
      <c r="Z20" s="12">
        <f>IF(AQ20="5",BJ20,0)</f>
        <v>0</v>
      </c>
      <c r="AB20" s="12">
        <f>IF(AQ20="1",BH20,0)</f>
        <v>0</v>
      </c>
      <c r="AC20" s="12">
        <f>IF(AQ20="1",BI20,0)</f>
        <v>0</v>
      </c>
      <c r="AD20" s="12">
        <f>IF(AQ20="7",BH20,0)</f>
        <v>0</v>
      </c>
      <c r="AE20" s="12">
        <f>IF(AQ20="7",BI20,0)</f>
        <v>0</v>
      </c>
      <c r="AF20" s="12">
        <f>IF(AQ20="2",BH20,0)</f>
        <v>0</v>
      </c>
      <c r="AG20" s="12">
        <f>IF(AQ20="2",BI20,0)</f>
        <v>0</v>
      </c>
      <c r="AH20" s="12">
        <f>IF(AQ20="0",BJ20,0)</f>
        <v>0</v>
      </c>
      <c r="AI20" s="27" t="s">
        <v>7</v>
      </c>
      <c r="AJ20" s="26">
        <f>IF(AN20=0,L20,0)</f>
        <v>0</v>
      </c>
      <c r="AK20" s="26">
        <f>IF(AN20=15,L20,0)</f>
        <v>0</v>
      </c>
      <c r="AL20" s="26">
        <f>IF(AN20=21,L20,0)</f>
        <v>0</v>
      </c>
      <c r="AN20" s="12">
        <v>21</v>
      </c>
      <c r="AO20" s="12">
        <f>K20*0</f>
        <v>0</v>
      </c>
      <c r="AP20" s="12">
        <f>K20*(1-0)</f>
        <v>0</v>
      </c>
      <c r="AQ20" s="32" t="s">
        <v>85</v>
      </c>
      <c r="AV20" s="12">
        <f>AW20+AX20</f>
        <v>0</v>
      </c>
      <c r="AW20" s="12">
        <f>J20*AO20</f>
        <v>0</v>
      </c>
      <c r="AX20" s="12">
        <f>J20*AP20</f>
        <v>0</v>
      </c>
      <c r="AY20" s="78" t="s">
        <v>886</v>
      </c>
      <c r="AZ20" s="78" t="s">
        <v>913</v>
      </c>
      <c r="BA20" s="27" t="s">
        <v>928</v>
      </c>
      <c r="BC20" s="12">
        <f>AW20+AX20</f>
        <v>0</v>
      </c>
      <c r="BD20" s="12">
        <f>K20/(100-BE20)*100</f>
        <v>0</v>
      </c>
      <c r="BE20" s="12">
        <v>0</v>
      </c>
      <c r="BF20" s="12">
        <f>20</f>
        <v>20</v>
      </c>
      <c r="BH20" s="26">
        <f>J20*AO20</f>
        <v>0</v>
      </c>
      <c r="BI20" s="26">
        <f>J20*AP20</f>
        <v>0</v>
      </c>
      <c r="BJ20" s="26">
        <f>J20*K20</f>
        <v>0</v>
      </c>
    </row>
    <row r="21" spans="1:62" ht="102.6" customHeight="1" x14ac:dyDescent="0.2">
      <c r="C21" s="61" t="s">
        <v>9</v>
      </c>
      <c r="D21" s="123" t="s">
        <v>465</v>
      </c>
      <c r="E21" s="124"/>
      <c r="F21" s="124"/>
      <c r="G21" s="124"/>
      <c r="H21" s="124"/>
      <c r="I21" s="124"/>
      <c r="J21" s="124"/>
      <c r="K21" s="159"/>
      <c r="L21" s="124"/>
      <c r="M21" s="124"/>
    </row>
    <row r="22" spans="1:62" x14ac:dyDescent="0.2">
      <c r="A22" s="18" t="s">
        <v>90</v>
      </c>
      <c r="B22" s="18" t="s">
        <v>7</v>
      </c>
      <c r="C22" s="18" t="s">
        <v>287</v>
      </c>
      <c r="D22" s="111" t="s">
        <v>466</v>
      </c>
      <c r="E22" s="112"/>
      <c r="F22" s="112"/>
      <c r="G22" s="112"/>
      <c r="H22" s="112"/>
      <c r="I22" s="18" t="s">
        <v>781</v>
      </c>
      <c r="J22" s="26">
        <v>1</v>
      </c>
      <c r="K22" s="69">
        <v>0</v>
      </c>
      <c r="L22" s="26">
        <f>J22*K22</f>
        <v>0</v>
      </c>
      <c r="M22" s="32"/>
      <c r="Z22" s="12">
        <f>IF(AQ22="5",BJ22,0)</f>
        <v>0</v>
      </c>
      <c r="AB22" s="12">
        <f>IF(AQ22="1",BH22,0)</f>
        <v>0</v>
      </c>
      <c r="AC22" s="12">
        <f>IF(AQ22="1",BI22,0)</f>
        <v>0</v>
      </c>
      <c r="AD22" s="12">
        <f>IF(AQ22="7",BH22,0)</f>
        <v>0</v>
      </c>
      <c r="AE22" s="12">
        <f>IF(AQ22="7",BI22,0)</f>
        <v>0</v>
      </c>
      <c r="AF22" s="12">
        <f>IF(AQ22="2",BH22,0)</f>
        <v>0</v>
      </c>
      <c r="AG22" s="12">
        <f>IF(AQ22="2",BI22,0)</f>
        <v>0</v>
      </c>
      <c r="AH22" s="12">
        <f>IF(AQ22="0",BJ22,0)</f>
        <v>0</v>
      </c>
      <c r="AI22" s="27" t="s">
        <v>7</v>
      </c>
      <c r="AJ22" s="26">
        <f>IF(AN22=0,L22,0)</f>
        <v>0</v>
      </c>
      <c r="AK22" s="26">
        <f>IF(AN22=15,L22,0)</f>
        <v>0</v>
      </c>
      <c r="AL22" s="26">
        <f>IF(AN22=21,L22,0)</f>
        <v>0</v>
      </c>
      <c r="AN22" s="12">
        <v>21</v>
      </c>
      <c r="AO22" s="12">
        <f>K22*0</f>
        <v>0</v>
      </c>
      <c r="AP22" s="12">
        <f>K22*(1-0)</f>
        <v>0</v>
      </c>
      <c r="AQ22" s="32" t="s">
        <v>85</v>
      </c>
      <c r="AV22" s="12">
        <f>AW22+AX22</f>
        <v>0</v>
      </c>
      <c r="AW22" s="12">
        <f>J22*AO22</f>
        <v>0</v>
      </c>
      <c r="AX22" s="12">
        <f>J22*AP22</f>
        <v>0</v>
      </c>
      <c r="AY22" s="78" t="s">
        <v>886</v>
      </c>
      <c r="AZ22" s="78" t="s">
        <v>913</v>
      </c>
      <c r="BA22" s="27" t="s">
        <v>928</v>
      </c>
      <c r="BC22" s="12">
        <f>AW22+AX22</f>
        <v>0</v>
      </c>
      <c r="BD22" s="12">
        <f>K22/(100-BE22)*100</f>
        <v>0</v>
      </c>
      <c r="BE22" s="12">
        <v>0</v>
      </c>
      <c r="BF22" s="12">
        <f>22</f>
        <v>22</v>
      </c>
      <c r="BH22" s="26">
        <f>J22*AO22</f>
        <v>0</v>
      </c>
      <c r="BI22" s="26">
        <f>J22*AP22</f>
        <v>0</v>
      </c>
      <c r="BJ22" s="26">
        <f>J22*K22</f>
        <v>0</v>
      </c>
    </row>
    <row r="23" spans="1:62" x14ac:dyDescent="0.2">
      <c r="C23" s="61" t="s">
        <v>9</v>
      </c>
      <c r="D23" s="123" t="s">
        <v>467</v>
      </c>
      <c r="E23" s="124"/>
      <c r="F23" s="124"/>
      <c r="G23" s="124"/>
      <c r="H23" s="124"/>
      <c r="I23" s="124"/>
      <c r="J23" s="124"/>
      <c r="K23" s="159"/>
      <c r="L23" s="124"/>
      <c r="M23" s="124"/>
    </row>
    <row r="24" spans="1:62" x14ac:dyDescent="0.2">
      <c r="A24" s="18" t="s">
        <v>91</v>
      </c>
      <c r="B24" s="18" t="s">
        <v>7</v>
      </c>
      <c r="C24" s="18" t="s">
        <v>288</v>
      </c>
      <c r="D24" s="111" t="s">
        <v>468</v>
      </c>
      <c r="E24" s="112"/>
      <c r="F24" s="112"/>
      <c r="G24" s="112"/>
      <c r="H24" s="112"/>
      <c r="I24" s="18" t="s">
        <v>781</v>
      </c>
      <c r="J24" s="26">
        <v>1</v>
      </c>
      <c r="K24" s="69">
        <v>0</v>
      </c>
      <c r="L24" s="26">
        <f>J24*K24</f>
        <v>0</v>
      </c>
      <c r="M24" s="32"/>
      <c r="Z24" s="12">
        <f>IF(AQ24="5",BJ24,0)</f>
        <v>0</v>
      </c>
      <c r="AB24" s="12">
        <f>IF(AQ24="1",BH24,0)</f>
        <v>0</v>
      </c>
      <c r="AC24" s="12">
        <f>IF(AQ24="1",BI24,0)</f>
        <v>0</v>
      </c>
      <c r="AD24" s="12">
        <f>IF(AQ24="7",BH24,0)</f>
        <v>0</v>
      </c>
      <c r="AE24" s="12">
        <f>IF(AQ24="7",BI24,0)</f>
        <v>0</v>
      </c>
      <c r="AF24" s="12">
        <f>IF(AQ24="2",BH24,0)</f>
        <v>0</v>
      </c>
      <c r="AG24" s="12">
        <f>IF(AQ24="2",BI24,0)</f>
        <v>0</v>
      </c>
      <c r="AH24" s="12">
        <f>IF(AQ24="0",BJ24,0)</f>
        <v>0</v>
      </c>
      <c r="AI24" s="27" t="s">
        <v>7</v>
      </c>
      <c r="AJ24" s="26">
        <f>IF(AN24=0,L24,0)</f>
        <v>0</v>
      </c>
      <c r="AK24" s="26">
        <f>IF(AN24=15,L24,0)</f>
        <v>0</v>
      </c>
      <c r="AL24" s="26">
        <f>IF(AN24=21,L24,0)</f>
        <v>0</v>
      </c>
      <c r="AN24" s="12">
        <v>21</v>
      </c>
      <c r="AO24" s="12">
        <f>K24*0</f>
        <v>0</v>
      </c>
      <c r="AP24" s="12">
        <f>K24*(1-0)</f>
        <v>0</v>
      </c>
      <c r="AQ24" s="32" t="s">
        <v>85</v>
      </c>
      <c r="AV24" s="12">
        <f>AW24+AX24</f>
        <v>0</v>
      </c>
      <c r="AW24" s="12">
        <f>J24*AO24</f>
        <v>0</v>
      </c>
      <c r="AX24" s="12">
        <f>J24*AP24</f>
        <v>0</v>
      </c>
      <c r="AY24" s="78" t="s">
        <v>886</v>
      </c>
      <c r="AZ24" s="78" t="s">
        <v>913</v>
      </c>
      <c r="BA24" s="27" t="s">
        <v>928</v>
      </c>
      <c r="BC24" s="12">
        <f>AW24+AX24</f>
        <v>0</v>
      </c>
      <c r="BD24" s="12">
        <f>K24/(100-BE24)*100</f>
        <v>0</v>
      </c>
      <c r="BE24" s="12">
        <v>0</v>
      </c>
      <c r="BF24" s="12">
        <f>24</f>
        <v>24</v>
      </c>
      <c r="BH24" s="26">
        <f>J24*AO24</f>
        <v>0</v>
      </c>
      <c r="BI24" s="26">
        <f>J24*AP24</f>
        <v>0</v>
      </c>
      <c r="BJ24" s="26">
        <f>J24*K24</f>
        <v>0</v>
      </c>
    </row>
    <row r="25" spans="1:62" x14ac:dyDescent="0.2">
      <c r="A25" s="18" t="s">
        <v>92</v>
      </c>
      <c r="B25" s="18" t="s">
        <v>7</v>
      </c>
      <c r="C25" s="18" t="s">
        <v>289</v>
      </c>
      <c r="D25" s="111" t="s">
        <v>469</v>
      </c>
      <c r="E25" s="112"/>
      <c r="F25" s="112"/>
      <c r="G25" s="112"/>
      <c r="H25" s="112"/>
      <c r="I25" s="18" t="s">
        <v>781</v>
      </c>
      <c r="J25" s="26">
        <v>1</v>
      </c>
      <c r="K25" s="69">
        <v>0</v>
      </c>
      <c r="L25" s="26">
        <f>J25*K25</f>
        <v>0</v>
      </c>
      <c r="M25" s="32"/>
      <c r="Z25" s="12">
        <f>IF(AQ25="5",BJ25,0)</f>
        <v>0</v>
      </c>
      <c r="AB25" s="12">
        <f>IF(AQ25="1",BH25,0)</f>
        <v>0</v>
      </c>
      <c r="AC25" s="12">
        <f>IF(AQ25="1",BI25,0)</f>
        <v>0</v>
      </c>
      <c r="AD25" s="12">
        <f>IF(AQ25="7",BH25,0)</f>
        <v>0</v>
      </c>
      <c r="AE25" s="12">
        <f>IF(AQ25="7",BI25,0)</f>
        <v>0</v>
      </c>
      <c r="AF25" s="12">
        <f>IF(AQ25="2",BH25,0)</f>
        <v>0</v>
      </c>
      <c r="AG25" s="12">
        <f>IF(AQ25="2",BI25,0)</f>
        <v>0</v>
      </c>
      <c r="AH25" s="12">
        <f>IF(AQ25="0",BJ25,0)</f>
        <v>0</v>
      </c>
      <c r="AI25" s="27" t="s">
        <v>7</v>
      </c>
      <c r="AJ25" s="26">
        <f>IF(AN25=0,L25,0)</f>
        <v>0</v>
      </c>
      <c r="AK25" s="26">
        <f>IF(AN25=15,L25,0)</f>
        <v>0</v>
      </c>
      <c r="AL25" s="26">
        <f>IF(AN25=21,L25,0)</f>
        <v>0</v>
      </c>
      <c r="AN25" s="12">
        <v>21</v>
      </c>
      <c r="AO25" s="12">
        <f>K25*0</f>
        <v>0</v>
      </c>
      <c r="AP25" s="12">
        <f>K25*(1-0)</f>
        <v>0</v>
      </c>
      <c r="AQ25" s="32" t="s">
        <v>85</v>
      </c>
      <c r="AV25" s="12">
        <f>AW25+AX25</f>
        <v>0</v>
      </c>
      <c r="AW25" s="12">
        <f>J25*AO25</f>
        <v>0</v>
      </c>
      <c r="AX25" s="12">
        <f>J25*AP25</f>
        <v>0</v>
      </c>
      <c r="AY25" s="78" t="s">
        <v>886</v>
      </c>
      <c r="AZ25" s="78" t="s">
        <v>913</v>
      </c>
      <c r="BA25" s="27" t="s">
        <v>928</v>
      </c>
      <c r="BC25" s="12">
        <f>AW25+AX25</f>
        <v>0</v>
      </c>
      <c r="BD25" s="12">
        <f>K25/(100-BE25)*100</f>
        <v>0</v>
      </c>
      <c r="BE25" s="12">
        <v>0</v>
      </c>
      <c r="BF25" s="12">
        <f>25</f>
        <v>25</v>
      </c>
      <c r="BH25" s="26">
        <f>J25*AO25</f>
        <v>0</v>
      </c>
      <c r="BI25" s="26">
        <f>J25*AP25</f>
        <v>0</v>
      </c>
      <c r="BJ25" s="26">
        <f>J25*K25</f>
        <v>0</v>
      </c>
    </row>
    <row r="26" spans="1:62" x14ac:dyDescent="0.2">
      <c r="A26" s="18" t="s">
        <v>93</v>
      </c>
      <c r="B26" s="18" t="s">
        <v>7</v>
      </c>
      <c r="C26" s="18" t="s">
        <v>290</v>
      </c>
      <c r="D26" s="111" t="s">
        <v>470</v>
      </c>
      <c r="E26" s="112"/>
      <c r="F26" s="112"/>
      <c r="G26" s="112"/>
      <c r="H26" s="112"/>
      <c r="I26" s="18" t="s">
        <v>781</v>
      </c>
      <c r="J26" s="26">
        <v>1</v>
      </c>
      <c r="K26" s="69">
        <v>0</v>
      </c>
      <c r="L26" s="26">
        <f>J26*K26</f>
        <v>0</v>
      </c>
      <c r="M26" s="32"/>
      <c r="Z26" s="12">
        <f>IF(AQ26="5",BJ26,0)</f>
        <v>0</v>
      </c>
      <c r="AB26" s="12">
        <f>IF(AQ26="1",BH26,0)</f>
        <v>0</v>
      </c>
      <c r="AC26" s="12">
        <f>IF(AQ26="1",BI26,0)</f>
        <v>0</v>
      </c>
      <c r="AD26" s="12">
        <f>IF(AQ26="7",BH26,0)</f>
        <v>0</v>
      </c>
      <c r="AE26" s="12">
        <f>IF(AQ26="7",BI26,0)</f>
        <v>0</v>
      </c>
      <c r="AF26" s="12">
        <f>IF(AQ26="2",BH26,0)</f>
        <v>0</v>
      </c>
      <c r="AG26" s="12">
        <f>IF(AQ26="2",BI26,0)</f>
        <v>0</v>
      </c>
      <c r="AH26" s="12">
        <f>IF(AQ26="0",BJ26,0)</f>
        <v>0</v>
      </c>
      <c r="AI26" s="27" t="s">
        <v>7</v>
      </c>
      <c r="AJ26" s="26">
        <f>IF(AN26=0,L26,0)</f>
        <v>0</v>
      </c>
      <c r="AK26" s="26">
        <f>IF(AN26=15,L26,0)</f>
        <v>0</v>
      </c>
      <c r="AL26" s="26">
        <f>IF(AN26=21,L26,0)</f>
        <v>0</v>
      </c>
      <c r="AN26" s="12">
        <v>21</v>
      </c>
      <c r="AO26" s="12">
        <f>K26*0</f>
        <v>0</v>
      </c>
      <c r="AP26" s="12">
        <f>K26*(1-0)</f>
        <v>0</v>
      </c>
      <c r="AQ26" s="32" t="s">
        <v>85</v>
      </c>
      <c r="AV26" s="12">
        <f>AW26+AX26</f>
        <v>0</v>
      </c>
      <c r="AW26" s="12">
        <f>J26*AO26</f>
        <v>0</v>
      </c>
      <c r="AX26" s="12">
        <f>J26*AP26</f>
        <v>0</v>
      </c>
      <c r="AY26" s="78" t="s">
        <v>886</v>
      </c>
      <c r="AZ26" s="78" t="s">
        <v>913</v>
      </c>
      <c r="BA26" s="27" t="s">
        <v>928</v>
      </c>
      <c r="BC26" s="12">
        <f>AW26+AX26</f>
        <v>0</v>
      </c>
      <c r="BD26" s="12">
        <f>K26/(100-BE26)*100</f>
        <v>0</v>
      </c>
      <c r="BE26" s="12">
        <v>0</v>
      </c>
      <c r="BF26" s="12">
        <f>26</f>
        <v>26</v>
      </c>
      <c r="BH26" s="26">
        <f>J26*AO26</f>
        <v>0</v>
      </c>
      <c r="BI26" s="26">
        <f>J26*AP26</f>
        <v>0</v>
      </c>
      <c r="BJ26" s="26">
        <f>J26*K26</f>
        <v>0</v>
      </c>
    </row>
    <row r="27" spans="1:62" x14ac:dyDescent="0.2">
      <c r="A27" s="18" t="s">
        <v>94</v>
      </c>
      <c r="B27" s="18" t="s">
        <v>7</v>
      </c>
      <c r="C27" s="18" t="s">
        <v>292</v>
      </c>
      <c r="D27" s="111" t="s">
        <v>472</v>
      </c>
      <c r="E27" s="112"/>
      <c r="F27" s="112"/>
      <c r="G27" s="112"/>
      <c r="H27" s="112"/>
      <c r="I27" s="18" t="s">
        <v>781</v>
      </c>
      <c r="J27" s="26">
        <v>1</v>
      </c>
      <c r="K27" s="69">
        <v>0</v>
      </c>
      <c r="L27" s="26">
        <f>J27*K27</f>
        <v>0</v>
      </c>
      <c r="M27" s="32"/>
      <c r="Z27" s="12">
        <f>IF(AQ27="5",BJ27,0)</f>
        <v>0</v>
      </c>
      <c r="AB27" s="12">
        <f>IF(AQ27="1",BH27,0)</f>
        <v>0</v>
      </c>
      <c r="AC27" s="12">
        <f>IF(AQ27="1",BI27,0)</f>
        <v>0</v>
      </c>
      <c r="AD27" s="12">
        <f>IF(AQ27="7",BH27,0)</f>
        <v>0</v>
      </c>
      <c r="AE27" s="12">
        <f>IF(AQ27="7",BI27,0)</f>
        <v>0</v>
      </c>
      <c r="AF27" s="12">
        <f>IF(AQ27="2",BH27,0)</f>
        <v>0</v>
      </c>
      <c r="AG27" s="12">
        <f>IF(AQ27="2",BI27,0)</f>
        <v>0</v>
      </c>
      <c r="AH27" s="12">
        <f>IF(AQ27="0",BJ27,0)</f>
        <v>0</v>
      </c>
      <c r="AI27" s="27" t="s">
        <v>7</v>
      </c>
      <c r="AJ27" s="26">
        <f>IF(AN27=0,L27,0)</f>
        <v>0</v>
      </c>
      <c r="AK27" s="26">
        <f>IF(AN27=15,L27,0)</f>
        <v>0</v>
      </c>
      <c r="AL27" s="26">
        <f>IF(AN27=21,L27,0)</f>
        <v>0</v>
      </c>
      <c r="AN27" s="12">
        <v>21</v>
      </c>
      <c r="AO27" s="12">
        <f>K27*0</f>
        <v>0</v>
      </c>
      <c r="AP27" s="12">
        <f>K27*(1-0)</f>
        <v>0</v>
      </c>
      <c r="AQ27" s="32" t="s">
        <v>85</v>
      </c>
      <c r="AV27" s="12">
        <f>AW27+AX27</f>
        <v>0</v>
      </c>
      <c r="AW27" s="12">
        <f>J27*AO27</f>
        <v>0</v>
      </c>
      <c r="AX27" s="12">
        <f>J27*AP27</f>
        <v>0</v>
      </c>
      <c r="AY27" s="78" t="s">
        <v>886</v>
      </c>
      <c r="AZ27" s="78" t="s">
        <v>913</v>
      </c>
      <c r="BA27" s="27" t="s">
        <v>928</v>
      </c>
      <c r="BC27" s="12">
        <f>AW27+AX27</f>
        <v>0</v>
      </c>
      <c r="BD27" s="12">
        <f>K27/(100-BE27)*100</f>
        <v>0</v>
      </c>
      <c r="BE27" s="12">
        <v>0</v>
      </c>
      <c r="BF27" s="12">
        <f>27</f>
        <v>27</v>
      </c>
      <c r="BH27" s="26">
        <f>J27*AO27</f>
        <v>0</v>
      </c>
      <c r="BI27" s="26">
        <f>J27*AP27</f>
        <v>0</v>
      </c>
      <c r="BJ27" s="26">
        <f>J27*K27</f>
        <v>0</v>
      </c>
    </row>
    <row r="28" spans="1:62" x14ac:dyDescent="0.2">
      <c r="A28" s="54"/>
      <c r="B28" s="19" t="s">
        <v>7</v>
      </c>
      <c r="C28" s="19" t="s">
        <v>13</v>
      </c>
      <c r="D28" s="117" t="s">
        <v>42</v>
      </c>
      <c r="E28" s="118"/>
      <c r="F28" s="118"/>
      <c r="G28" s="118"/>
      <c r="H28" s="118"/>
      <c r="I28" s="54" t="s">
        <v>5</v>
      </c>
      <c r="J28" s="54" t="s">
        <v>5</v>
      </c>
      <c r="K28" s="68" t="s">
        <v>5</v>
      </c>
      <c r="L28" s="80">
        <f>SUM(L29:L36)</f>
        <v>0</v>
      </c>
      <c r="M28" s="27"/>
      <c r="AI28" s="27" t="s">
        <v>7</v>
      </c>
      <c r="AS28" s="80">
        <f>SUM(AJ29:AJ36)</f>
        <v>0</v>
      </c>
      <c r="AT28" s="80">
        <f>SUM(AK29:AK36)</f>
        <v>0</v>
      </c>
      <c r="AU28" s="80">
        <f>SUM(AL29:AL36)</f>
        <v>0</v>
      </c>
    </row>
    <row r="29" spans="1:62" x14ac:dyDescent="0.2">
      <c r="A29" s="18" t="s">
        <v>13</v>
      </c>
      <c r="B29" s="18" t="s">
        <v>7</v>
      </c>
      <c r="C29" s="18" t="s">
        <v>293</v>
      </c>
      <c r="D29" s="111" t="s">
        <v>474</v>
      </c>
      <c r="E29" s="112"/>
      <c r="F29" s="112"/>
      <c r="G29" s="112"/>
      <c r="H29" s="112"/>
      <c r="I29" s="18" t="s">
        <v>782</v>
      </c>
      <c r="J29" s="26">
        <v>210.5</v>
      </c>
      <c r="K29" s="69">
        <v>0</v>
      </c>
      <c r="L29" s="26">
        <f>J29*K29</f>
        <v>0</v>
      </c>
      <c r="M29" s="32" t="s">
        <v>874</v>
      </c>
      <c r="Z29" s="12">
        <f>IF(AQ29="5",BJ29,0)</f>
        <v>0</v>
      </c>
      <c r="AB29" s="12">
        <f>IF(AQ29="1",BH29,0)</f>
        <v>0</v>
      </c>
      <c r="AC29" s="12">
        <f>IF(AQ29="1",BI29,0)</f>
        <v>0</v>
      </c>
      <c r="AD29" s="12">
        <f>IF(AQ29="7",BH29,0)</f>
        <v>0</v>
      </c>
      <c r="AE29" s="12">
        <f>IF(AQ29="7",BI29,0)</f>
        <v>0</v>
      </c>
      <c r="AF29" s="12">
        <f>IF(AQ29="2",BH29,0)</f>
        <v>0</v>
      </c>
      <c r="AG29" s="12">
        <f>IF(AQ29="2",BI29,0)</f>
        <v>0</v>
      </c>
      <c r="AH29" s="12">
        <f>IF(AQ29="0",BJ29,0)</f>
        <v>0</v>
      </c>
      <c r="AI29" s="27" t="s">
        <v>7</v>
      </c>
      <c r="AJ29" s="26">
        <f>IF(AN29=0,L29,0)</f>
        <v>0</v>
      </c>
      <c r="AK29" s="26">
        <f>IF(AN29=15,L29,0)</f>
        <v>0</v>
      </c>
      <c r="AL29" s="26">
        <f>IF(AN29=21,L29,0)</f>
        <v>0</v>
      </c>
      <c r="AN29" s="12">
        <v>21</v>
      </c>
      <c r="AO29" s="12">
        <f>K29*0</f>
        <v>0</v>
      </c>
      <c r="AP29" s="12">
        <f>K29*(1-0)</f>
        <v>0</v>
      </c>
      <c r="AQ29" s="32" t="s">
        <v>85</v>
      </c>
      <c r="AV29" s="12">
        <f>AW29+AX29</f>
        <v>0</v>
      </c>
      <c r="AW29" s="12">
        <f>J29*AO29</f>
        <v>0</v>
      </c>
      <c r="AX29" s="12">
        <f>J29*AP29</f>
        <v>0</v>
      </c>
      <c r="AY29" s="78" t="s">
        <v>887</v>
      </c>
      <c r="AZ29" s="78" t="s">
        <v>913</v>
      </c>
      <c r="BA29" s="27" t="s">
        <v>928</v>
      </c>
      <c r="BC29" s="12">
        <f>AW29+AX29</f>
        <v>0</v>
      </c>
      <c r="BD29" s="12">
        <f>K29/(100-BE29)*100</f>
        <v>0</v>
      </c>
      <c r="BE29" s="12">
        <v>0</v>
      </c>
      <c r="BF29" s="12">
        <f>29</f>
        <v>29</v>
      </c>
      <c r="BH29" s="26">
        <f>J29*AO29</f>
        <v>0</v>
      </c>
      <c r="BI29" s="26">
        <f>J29*AP29</f>
        <v>0</v>
      </c>
      <c r="BJ29" s="26">
        <f>J29*K29</f>
        <v>0</v>
      </c>
    </row>
    <row r="30" spans="1:62" x14ac:dyDescent="0.2">
      <c r="A30" s="18" t="s">
        <v>14</v>
      </c>
      <c r="B30" s="18" t="s">
        <v>7</v>
      </c>
      <c r="C30" s="18" t="s">
        <v>294</v>
      </c>
      <c r="D30" s="111" t="s">
        <v>475</v>
      </c>
      <c r="E30" s="112"/>
      <c r="F30" s="112"/>
      <c r="G30" s="112"/>
      <c r="H30" s="112"/>
      <c r="I30" s="18" t="s">
        <v>783</v>
      </c>
      <c r="J30" s="26">
        <v>930</v>
      </c>
      <c r="K30" s="69">
        <v>0</v>
      </c>
      <c r="L30" s="26">
        <f>J30*K30</f>
        <v>0</v>
      </c>
      <c r="M30" s="32" t="s">
        <v>874</v>
      </c>
      <c r="Z30" s="12">
        <f>IF(AQ30="5",BJ30,0)</f>
        <v>0</v>
      </c>
      <c r="AB30" s="12">
        <f>IF(AQ30="1",BH30,0)</f>
        <v>0</v>
      </c>
      <c r="AC30" s="12">
        <f>IF(AQ30="1",BI30,0)</f>
        <v>0</v>
      </c>
      <c r="AD30" s="12">
        <f>IF(AQ30="7",BH30,0)</f>
        <v>0</v>
      </c>
      <c r="AE30" s="12">
        <f>IF(AQ30="7",BI30,0)</f>
        <v>0</v>
      </c>
      <c r="AF30" s="12">
        <f>IF(AQ30="2",BH30,0)</f>
        <v>0</v>
      </c>
      <c r="AG30" s="12">
        <f>IF(AQ30="2",BI30,0)</f>
        <v>0</v>
      </c>
      <c r="AH30" s="12">
        <f>IF(AQ30="0",BJ30,0)</f>
        <v>0</v>
      </c>
      <c r="AI30" s="27" t="s">
        <v>7</v>
      </c>
      <c r="AJ30" s="26">
        <f>IF(AN30=0,L30,0)</f>
        <v>0</v>
      </c>
      <c r="AK30" s="26">
        <f>IF(AN30=15,L30,0)</f>
        <v>0</v>
      </c>
      <c r="AL30" s="26">
        <f>IF(AN30=21,L30,0)</f>
        <v>0</v>
      </c>
      <c r="AN30" s="12">
        <v>21</v>
      </c>
      <c r="AO30" s="12">
        <f>K30*0</f>
        <v>0</v>
      </c>
      <c r="AP30" s="12">
        <f>K30*(1-0)</f>
        <v>0</v>
      </c>
      <c r="AQ30" s="32" t="s">
        <v>85</v>
      </c>
      <c r="AV30" s="12">
        <f>AW30+AX30</f>
        <v>0</v>
      </c>
      <c r="AW30" s="12">
        <f>J30*AO30</f>
        <v>0</v>
      </c>
      <c r="AX30" s="12">
        <f>J30*AP30</f>
        <v>0</v>
      </c>
      <c r="AY30" s="78" t="s">
        <v>887</v>
      </c>
      <c r="AZ30" s="78" t="s">
        <v>913</v>
      </c>
      <c r="BA30" s="27" t="s">
        <v>928</v>
      </c>
      <c r="BC30" s="12">
        <f>AW30+AX30</f>
        <v>0</v>
      </c>
      <c r="BD30" s="12">
        <f>K30/(100-BE30)*100</f>
        <v>0</v>
      </c>
      <c r="BE30" s="12">
        <v>0</v>
      </c>
      <c r="BF30" s="12">
        <f>30</f>
        <v>30</v>
      </c>
      <c r="BH30" s="26">
        <f>J30*AO30</f>
        <v>0</v>
      </c>
      <c r="BI30" s="26">
        <f>J30*AP30</f>
        <v>0</v>
      </c>
      <c r="BJ30" s="26">
        <f>J30*K30</f>
        <v>0</v>
      </c>
    </row>
    <row r="31" spans="1:62" x14ac:dyDescent="0.2">
      <c r="A31" s="18" t="s">
        <v>15</v>
      </c>
      <c r="B31" s="18" t="s">
        <v>7</v>
      </c>
      <c r="C31" s="18" t="s">
        <v>295</v>
      </c>
      <c r="D31" s="111" t="s">
        <v>476</v>
      </c>
      <c r="E31" s="112"/>
      <c r="F31" s="112"/>
      <c r="G31" s="112"/>
      <c r="H31" s="112"/>
      <c r="I31" s="18" t="s">
        <v>783</v>
      </c>
      <c r="J31" s="26">
        <v>930</v>
      </c>
      <c r="K31" s="69">
        <v>0</v>
      </c>
      <c r="L31" s="26">
        <f>J31*K31</f>
        <v>0</v>
      </c>
      <c r="M31" s="32" t="s">
        <v>874</v>
      </c>
      <c r="Z31" s="12">
        <f>IF(AQ31="5",BJ31,0)</f>
        <v>0</v>
      </c>
      <c r="AB31" s="12">
        <f>IF(AQ31="1",BH31,0)</f>
        <v>0</v>
      </c>
      <c r="AC31" s="12">
        <f>IF(AQ31="1",BI31,0)</f>
        <v>0</v>
      </c>
      <c r="AD31" s="12">
        <f>IF(AQ31="7",BH31,0)</f>
        <v>0</v>
      </c>
      <c r="AE31" s="12">
        <f>IF(AQ31="7",BI31,0)</f>
        <v>0</v>
      </c>
      <c r="AF31" s="12">
        <f>IF(AQ31="2",BH31,0)</f>
        <v>0</v>
      </c>
      <c r="AG31" s="12">
        <f>IF(AQ31="2",BI31,0)</f>
        <v>0</v>
      </c>
      <c r="AH31" s="12">
        <f>IF(AQ31="0",BJ31,0)</f>
        <v>0</v>
      </c>
      <c r="AI31" s="27" t="s">
        <v>7</v>
      </c>
      <c r="AJ31" s="26">
        <f>IF(AN31=0,L31,0)</f>
        <v>0</v>
      </c>
      <c r="AK31" s="26">
        <f>IF(AN31=15,L31,0)</f>
        <v>0</v>
      </c>
      <c r="AL31" s="26">
        <f>IF(AN31=21,L31,0)</f>
        <v>0</v>
      </c>
      <c r="AN31" s="12">
        <v>21</v>
      </c>
      <c r="AO31" s="12">
        <f>K31*0</f>
        <v>0</v>
      </c>
      <c r="AP31" s="12">
        <f>K31*(1-0)</f>
        <v>0</v>
      </c>
      <c r="AQ31" s="32" t="s">
        <v>85</v>
      </c>
      <c r="AV31" s="12">
        <f>AW31+AX31</f>
        <v>0</v>
      </c>
      <c r="AW31" s="12">
        <f>J31*AO31</f>
        <v>0</v>
      </c>
      <c r="AX31" s="12">
        <f>J31*AP31</f>
        <v>0</v>
      </c>
      <c r="AY31" s="78" t="s">
        <v>887</v>
      </c>
      <c r="AZ31" s="78" t="s">
        <v>913</v>
      </c>
      <c r="BA31" s="27" t="s">
        <v>928</v>
      </c>
      <c r="BC31" s="12">
        <f>AW31+AX31</f>
        <v>0</v>
      </c>
      <c r="BD31" s="12">
        <f>K31/(100-BE31)*100</f>
        <v>0</v>
      </c>
      <c r="BE31" s="12">
        <v>0</v>
      </c>
      <c r="BF31" s="12">
        <f>31</f>
        <v>31</v>
      </c>
      <c r="BH31" s="26">
        <f>J31*AO31</f>
        <v>0</v>
      </c>
      <c r="BI31" s="26">
        <f>J31*AP31</f>
        <v>0</v>
      </c>
      <c r="BJ31" s="26">
        <f>J31*K31</f>
        <v>0</v>
      </c>
    </row>
    <row r="32" spans="1:62" ht="25.7" customHeight="1" x14ac:dyDescent="0.2">
      <c r="C32" s="62" t="s">
        <v>296</v>
      </c>
      <c r="D32" s="113" t="s">
        <v>477</v>
      </c>
      <c r="E32" s="114"/>
      <c r="F32" s="114"/>
      <c r="G32" s="114"/>
      <c r="H32" s="114"/>
      <c r="I32" s="114"/>
      <c r="J32" s="114"/>
      <c r="K32" s="154"/>
      <c r="L32" s="114"/>
      <c r="M32" s="114"/>
    </row>
    <row r="33" spans="1:62" x14ac:dyDescent="0.2">
      <c r="A33" s="18" t="s">
        <v>95</v>
      </c>
      <c r="B33" s="18" t="s">
        <v>7</v>
      </c>
      <c r="C33" s="18" t="s">
        <v>297</v>
      </c>
      <c r="D33" s="111" t="s">
        <v>478</v>
      </c>
      <c r="E33" s="112"/>
      <c r="F33" s="112"/>
      <c r="G33" s="112"/>
      <c r="H33" s="112"/>
      <c r="I33" s="18" t="s">
        <v>783</v>
      </c>
      <c r="J33" s="26">
        <v>59.25</v>
      </c>
      <c r="K33" s="69">
        <v>0</v>
      </c>
      <c r="L33" s="26">
        <f>J33*K33</f>
        <v>0</v>
      </c>
      <c r="M33" s="32" t="s">
        <v>874</v>
      </c>
      <c r="Z33" s="12">
        <f>IF(AQ33="5",BJ33,0)</f>
        <v>0</v>
      </c>
      <c r="AB33" s="12">
        <f>IF(AQ33="1",BH33,0)</f>
        <v>0</v>
      </c>
      <c r="AC33" s="12">
        <f>IF(AQ33="1",BI33,0)</f>
        <v>0</v>
      </c>
      <c r="AD33" s="12">
        <f>IF(AQ33="7",BH33,0)</f>
        <v>0</v>
      </c>
      <c r="AE33" s="12">
        <f>IF(AQ33="7",BI33,0)</f>
        <v>0</v>
      </c>
      <c r="AF33" s="12">
        <f>IF(AQ33="2",BH33,0)</f>
        <v>0</v>
      </c>
      <c r="AG33" s="12">
        <f>IF(AQ33="2",BI33,0)</f>
        <v>0</v>
      </c>
      <c r="AH33" s="12">
        <f>IF(AQ33="0",BJ33,0)</f>
        <v>0</v>
      </c>
      <c r="AI33" s="27" t="s">
        <v>7</v>
      </c>
      <c r="AJ33" s="26">
        <f>IF(AN33=0,L33,0)</f>
        <v>0</v>
      </c>
      <c r="AK33" s="26">
        <f>IF(AN33=15,L33,0)</f>
        <v>0</v>
      </c>
      <c r="AL33" s="26">
        <f>IF(AN33=21,L33,0)</f>
        <v>0</v>
      </c>
      <c r="AN33" s="12">
        <v>21</v>
      </c>
      <c r="AO33" s="12">
        <f>K33*0</f>
        <v>0</v>
      </c>
      <c r="AP33" s="12">
        <f>K33*(1-0)</f>
        <v>0</v>
      </c>
      <c r="AQ33" s="32" t="s">
        <v>85</v>
      </c>
      <c r="AV33" s="12">
        <f>AW33+AX33</f>
        <v>0</v>
      </c>
      <c r="AW33" s="12">
        <f>J33*AO33</f>
        <v>0</v>
      </c>
      <c r="AX33" s="12">
        <f>J33*AP33</f>
        <v>0</v>
      </c>
      <c r="AY33" s="78" t="s">
        <v>887</v>
      </c>
      <c r="AZ33" s="78" t="s">
        <v>913</v>
      </c>
      <c r="BA33" s="27" t="s">
        <v>928</v>
      </c>
      <c r="BC33" s="12">
        <f>AW33+AX33</f>
        <v>0</v>
      </c>
      <c r="BD33" s="12">
        <f>K33/(100-BE33)*100</f>
        <v>0</v>
      </c>
      <c r="BE33" s="12">
        <v>0</v>
      </c>
      <c r="BF33" s="12">
        <f>33</f>
        <v>33</v>
      </c>
      <c r="BH33" s="26">
        <f>J33*AO33</f>
        <v>0</v>
      </c>
      <c r="BI33" s="26">
        <f>J33*AP33</f>
        <v>0</v>
      </c>
      <c r="BJ33" s="26">
        <f>J33*K33</f>
        <v>0</v>
      </c>
    </row>
    <row r="34" spans="1:62" x14ac:dyDescent="0.2">
      <c r="C34" s="62" t="s">
        <v>296</v>
      </c>
      <c r="D34" s="113" t="s">
        <v>481</v>
      </c>
      <c r="E34" s="114"/>
      <c r="F34" s="114"/>
      <c r="G34" s="114"/>
      <c r="H34" s="114"/>
      <c r="I34" s="114"/>
      <c r="J34" s="114"/>
      <c r="K34" s="154"/>
      <c r="L34" s="114"/>
      <c r="M34" s="114"/>
    </row>
    <row r="35" spans="1:62" x14ac:dyDescent="0.2">
      <c r="A35" s="18" t="s">
        <v>96</v>
      </c>
      <c r="B35" s="18" t="s">
        <v>7</v>
      </c>
      <c r="C35" s="18" t="s">
        <v>298</v>
      </c>
      <c r="D35" s="111" t="s">
        <v>482</v>
      </c>
      <c r="E35" s="112"/>
      <c r="F35" s="112"/>
      <c r="G35" s="112"/>
      <c r="H35" s="112"/>
      <c r="I35" s="18" t="s">
        <v>784</v>
      </c>
      <c r="J35" s="26">
        <v>9</v>
      </c>
      <c r="K35" s="69">
        <v>0</v>
      </c>
      <c r="L35" s="26">
        <f>J35*K35</f>
        <v>0</v>
      </c>
      <c r="M35" s="32" t="s">
        <v>874</v>
      </c>
      <c r="Z35" s="12">
        <f>IF(AQ35="5",BJ35,0)</f>
        <v>0</v>
      </c>
      <c r="AB35" s="12">
        <f>IF(AQ35="1",BH35,0)</f>
        <v>0</v>
      </c>
      <c r="AC35" s="12">
        <f>IF(AQ35="1",BI35,0)</f>
        <v>0</v>
      </c>
      <c r="AD35" s="12">
        <f>IF(AQ35="7",BH35,0)</f>
        <v>0</v>
      </c>
      <c r="AE35" s="12">
        <f>IF(AQ35="7",BI35,0)</f>
        <v>0</v>
      </c>
      <c r="AF35" s="12">
        <f>IF(AQ35="2",BH35,0)</f>
        <v>0</v>
      </c>
      <c r="AG35" s="12">
        <f>IF(AQ35="2",BI35,0)</f>
        <v>0</v>
      </c>
      <c r="AH35" s="12">
        <f>IF(AQ35="0",BJ35,0)</f>
        <v>0</v>
      </c>
      <c r="AI35" s="27" t="s">
        <v>7</v>
      </c>
      <c r="AJ35" s="26">
        <f>IF(AN35=0,L35,0)</f>
        <v>0</v>
      </c>
      <c r="AK35" s="26">
        <f>IF(AN35=15,L35,0)</f>
        <v>0</v>
      </c>
      <c r="AL35" s="26">
        <f>IF(AN35=21,L35,0)</f>
        <v>0</v>
      </c>
      <c r="AN35" s="12">
        <v>21</v>
      </c>
      <c r="AO35" s="12">
        <f>K35*0</f>
        <v>0</v>
      </c>
      <c r="AP35" s="12">
        <f>K35*(1-0)</f>
        <v>0</v>
      </c>
      <c r="AQ35" s="32" t="s">
        <v>85</v>
      </c>
      <c r="AV35" s="12">
        <f>AW35+AX35</f>
        <v>0</v>
      </c>
      <c r="AW35" s="12">
        <f>J35*AO35</f>
        <v>0</v>
      </c>
      <c r="AX35" s="12">
        <f>J35*AP35</f>
        <v>0</v>
      </c>
      <c r="AY35" s="78" t="s">
        <v>887</v>
      </c>
      <c r="AZ35" s="78" t="s">
        <v>913</v>
      </c>
      <c r="BA35" s="27" t="s">
        <v>928</v>
      </c>
      <c r="BC35" s="12">
        <f>AW35+AX35</f>
        <v>0</v>
      </c>
      <c r="BD35" s="12">
        <f>K35/(100-BE35)*100</f>
        <v>0</v>
      </c>
      <c r="BE35" s="12">
        <v>0</v>
      </c>
      <c r="BF35" s="12">
        <f>35</f>
        <v>35</v>
      </c>
      <c r="BH35" s="26">
        <f>J35*AO35</f>
        <v>0</v>
      </c>
      <c r="BI35" s="26">
        <f>J35*AP35</f>
        <v>0</v>
      </c>
      <c r="BJ35" s="26">
        <f>J35*K35</f>
        <v>0</v>
      </c>
    </row>
    <row r="36" spans="1:62" x14ac:dyDescent="0.2">
      <c r="A36" s="18" t="s">
        <v>16</v>
      </c>
      <c r="B36" s="18" t="s">
        <v>7</v>
      </c>
      <c r="C36" s="18" t="s">
        <v>299</v>
      </c>
      <c r="D36" s="111" t="s">
        <v>483</v>
      </c>
      <c r="E36" s="112"/>
      <c r="F36" s="112"/>
      <c r="G36" s="112"/>
      <c r="H36" s="112"/>
      <c r="I36" s="18" t="s">
        <v>784</v>
      </c>
      <c r="J36" s="26">
        <v>9</v>
      </c>
      <c r="K36" s="69">
        <v>0</v>
      </c>
      <c r="L36" s="26">
        <f>J36*K36</f>
        <v>0</v>
      </c>
      <c r="M36" s="32" t="s">
        <v>875</v>
      </c>
      <c r="Z36" s="12">
        <f>IF(AQ36="5",BJ36,0)</f>
        <v>0</v>
      </c>
      <c r="AB36" s="12">
        <f>IF(AQ36="1",BH36,0)</f>
        <v>0</v>
      </c>
      <c r="AC36" s="12">
        <f>IF(AQ36="1",BI36,0)</f>
        <v>0</v>
      </c>
      <c r="AD36" s="12">
        <f>IF(AQ36="7",BH36,0)</f>
        <v>0</v>
      </c>
      <c r="AE36" s="12">
        <f>IF(AQ36="7",BI36,0)</f>
        <v>0</v>
      </c>
      <c r="AF36" s="12">
        <f>IF(AQ36="2",BH36,0)</f>
        <v>0</v>
      </c>
      <c r="AG36" s="12">
        <f>IF(AQ36="2",BI36,0)</f>
        <v>0</v>
      </c>
      <c r="AH36" s="12">
        <f>IF(AQ36="0",BJ36,0)</f>
        <v>0</v>
      </c>
      <c r="AI36" s="27" t="s">
        <v>7</v>
      </c>
      <c r="AJ36" s="26">
        <f>IF(AN36=0,L36,0)</f>
        <v>0</v>
      </c>
      <c r="AK36" s="26">
        <f>IF(AN36=15,L36,0)</f>
        <v>0</v>
      </c>
      <c r="AL36" s="26">
        <f>IF(AN36=21,L36,0)</f>
        <v>0</v>
      </c>
      <c r="AN36" s="12">
        <v>21</v>
      </c>
      <c r="AO36" s="12">
        <f>K36*0</f>
        <v>0</v>
      </c>
      <c r="AP36" s="12">
        <f>K36*(1-0)</f>
        <v>0</v>
      </c>
      <c r="AQ36" s="32" t="s">
        <v>85</v>
      </c>
      <c r="AV36" s="12">
        <f>AW36+AX36</f>
        <v>0</v>
      </c>
      <c r="AW36" s="12">
        <f>J36*AO36</f>
        <v>0</v>
      </c>
      <c r="AX36" s="12">
        <f>J36*AP36</f>
        <v>0</v>
      </c>
      <c r="AY36" s="78" t="s">
        <v>887</v>
      </c>
      <c r="AZ36" s="78" t="s">
        <v>913</v>
      </c>
      <c r="BA36" s="27" t="s">
        <v>928</v>
      </c>
      <c r="BC36" s="12">
        <f>AW36+AX36</f>
        <v>0</v>
      </c>
      <c r="BD36" s="12">
        <f>K36/(100-BE36)*100</f>
        <v>0</v>
      </c>
      <c r="BE36" s="12">
        <v>0</v>
      </c>
      <c r="BF36" s="12">
        <f>36</f>
        <v>36</v>
      </c>
      <c r="BH36" s="26">
        <f>J36*AO36</f>
        <v>0</v>
      </c>
      <c r="BI36" s="26">
        <f>J36*AP36</f>
        <v>0</v>
      </c>
      <c r="BJ36" s="26">
        <f>J36*K36</f>
        <v>0</v>
      </c>
    </row>
    <row r="37" spans="1:62" x14ac:dyDescent="0.2">
      <c r="A37" s="54"/>
      <c r="B37" s="19" t="s">
        <v>7</v>
      </c>
      <c r="C37" s="19" t="s">
        <v>14</v>
      </c>
      <c r="D37" s="117" t="s">
        <v>43</v>
      </c>
      <c r="E37" s="118"/>
      <c r="F37" s="118"/>
      <c r="G37" s="118"/>
      <c r="H37" s="118"/>
      <c r="I37" s="54" t="s">
        <v>5</v>
      </c>
      <c r="J37" s="54" t="s">
        <v>5</v>
      </c>
      <c r="K37" s="68" t="s">
        <v>5</v>
      </c>
      <c r="L37" s="80">
        <f>SUM(L38:L44)</f>
        <v>0</v>
      </c>
      <c r="M37" s="27"/>
      <c r="AI37" s="27" t="s">
        <v>7</v>
      </c>
      <c r="AS37" s="80">
        <f>SUM(AJ38:AJ44)</f>
        <v>0</v>
      </c>
      <c r="AT37" s="80">
        <f>SUM(AK38:AK44)</f>
        <v>0</v>
      </c>
      <c r="AU37" s="80">
        <f>SUM(AL38:AL44)</f>
        <v>0</v>
      </c>
    </row>
    <row r="38" spans="1:62" x14ac:dyDescent="0.2">
      <c r="A38" s="18" t="s">
        <v>17</v>
      </c>
      <c r="B38" s="18" t="s">
        <v>7</v>
      </c>
      <c r="C38" s="18" t="s">
        <v>300</v>
      </c>
      <c r="D38" s="111" t="s">
        <v>484</v>
      </c>
      <c r="E38" s="112"/>
      <c r="F38" s="112"/>
      <c r="G38" s="112"/>
      <c r="H38" s="112"/>
      <c r="I38" s="18" t="s">
        <v>785</v>
      </c>
      <c r="J38" s="26">
        <v>18.25</v>
      </c>
      <c r="K38" s="69">
        <v>0</v>
      </c>
      <c r="L38" s="26">
        <f>J38*K38</f>
        <v>0</v>
      </c>
      <c r="M38" s="32" t="s">
        <v>874</v>
      </c>
      <c r="Z38" s="12">
        <f>IF(AQ38="5",BJ38,0)</f>
        <v>0</v>
      </c>
      <c r="AB38" s="12">
        <f>IF(AQ38="1",BH38,0)</f>
        <v>0</v>
      </c>
      <c r="AC38" s="12">
        <f>IF(AQ38="1",BI38,0)</f>
        <v>0</v>
      </c>
      <c r="AD38" s="12">
        <f>IF(AQ38="7",BH38,0)</f>
        <v>0</v>
      </c>
      <c r="AE38" s="12">
        <f>IF(AQ38="7",BI38,0)</f>
        <v>0</v>
      </c>
      <c r="AF38" s="12">
        <f>IF(AQ38="2",BH38,0)</f>
        <v>0</v>
      </c>
      <c r="AG38" s="12">
        <f>IF(AQ38="2",BI38,0)</f>
        <v>0</v>
      </c>
      <c r="AH38" s="12">
        <f>IF(AQ38="0",BJ38,0)</f>
        <v>0</v>
      </c>
      <c r="AI38" s="27" t="s">
        <v>7</v>
      </c>
      <c r="AJ38" s="26">
        <f>IF(AN38=0,L38,0)</f>
        <v>0</v>
      </c>
      <c r="AK38" s="26">
        <f>IF(AN38=15,L38,0)</f>
        <v>0</v>
      </c>
      <c r="AL38" s="26">
        <f>IF(AN38=21,L38,0)</f>
        <v>0</v>
      </c>
      <c r="AN38" s="12">
        <v>21</v>
      </c>
      <c r="AO38" s="12">
        <f>K38*0</f>
        <v>0</v>
      </c>
      <c r="AP38" s="12">
        <f>K38*(1-0)</f>
        <v>0</v>
      </c>
      <c r="AQ38" s="32" t="s">
        <v>85</v>
      </c>
      <c r="AV38" s="12">
        <f>AW38+AX38</f>
        <v>0</v>
      </c>
      <c r="AW38" s="12">
        <f>J38*AO38</f>
        <v>0</v>
      </c>
      <c r="AX38" s="12">
        <f>J38*AP38</f>
        <v>0</v>
      </c>
      <c r="AY38" s="78" t="s">
        <v>888</v>
      </c>
      <c r="AZ38" s="78" t="s">
        <v>913</v>
      </c>
      <c r="BA38" s="27" t="s">
        <v>928</v>
      </c>
      <c r="BC38" s="12">
        <f>AW38+AX38</f>
        <v>0</v>
      </c>
      <c r="BD38" s="12">
        <f>K38/(100-BE38)*100</f>
        <v>0</v>
      </c>
      <c r="BE38" s="12">
        <v>0</v>
      </c>
      <c r="BF38" s="12">
        <f>38</f>
        <v>38</v>
      </c>
      <c r="BH38" s="26">
        <f>J38*AO38</f>
        <v>0</v>
      </c>
      <c r="BI38" s="26">
        <f>J38*AP38</f>
        <v>0</v>
      </c>
      <c r="BJ38" s="26">
        <f>J38*K38</f>
        <v>0</v>
      </c>
    </row>
    <row r="39" spans="1:62" ht="51.4" customHeight="1" x14ac:dyDescent="0.2">
      <c r="C39" s="62" t="s">
        <v>296</v>
      </c>
      <c r="D39" s="113" t="s">
        <v>846</v>
      </c>
      <c r="E39" s="114"/>
      <c r="F39" s="114"/>
      <c r="G39" s="114"/>
      <c r="H39" s="114"/>
      <c r="I39" s="114"/>
      <c r="J39" s="114"/>
      <c r="K39" s="154"/>
      <c r="L39" s="114"/>
      <c r="M39" s="114"/>
    </row>
    <row r="40" spans="1:62" ht="51.4" customHeight="1" x14ac:dyDescent="0.2">
      <c r="D40" s="113" t="s">
        <v>847</v>
      </c>
      <c r="E40" s="114"/>
      <c r="F40" s="114"/>
      <c r="G40" s="114"/>
      <c r="H40" s="114"/>
      <c r="I40" s="114"/>
      <c r="J40" s="114"/>
      <c r="K40" s="154"/>
      <c r="L40" s="114"/>
      <c r="M40" s="114"/>
    </row>
    <row r="41" spans="1:62" ht="51.4" customHeight="1" x14ac:dyDescent="0.2">
      <c r="D41" s="113" t="s">
        <v>848</v>
      </c>
      <c r="E41" s="114"/>
      <c r="F41" s="114"/>
      <c r="G41" s="114"/>
      <c r="H41" s="114"/>
      <c r="I41" s="114"/>
      <c r="J41" s="114"/>
      <c r="K41" s="154"/>
      <c r="L41" s="114"/>
      <c r="M41" s="114"/>
    </row>
    <row r="42" spans="1:62" x14ac:dyDescent="0.2">
      <c r="D42" s="113" t="s">
        <v>849</v>
      </c>
      <c r="E42" s="114"/>
      <c r="F42" s="114"/>
      <c r="G42" s="114"/>
      <c r="H42" s="114"/>
      <c r="I42" s="114"/>
      <c r="J42" s="114"/>
      <c r="K42" s="154"/>
      <c r="L42" s="114"/>
      <c r="M42" s="114"/>
    </row>
    <row r="43" spans="1:62" x14ac:dyDescent="0.2">
      <c r="A43" s="18" t="s">
        <v>19</v>
      </c>
      <c r="B43" s="18" t="s">
        <v>7</v>
      </c>
      <c r="C43" s="18" t="s">
        <v>301</v>
      </c>
      <c r="D43" s="111" t="s">
        <v>491</v>
      </c>
      <c r="E43" s="112"/>
      <c r="F43" s="112"/>
      <c r="G43" s="112"/>
      <c r="H43" s="112"/>
      <c r="I43" s="18" t="s">
        <v>785</v>
      </c>
      <c r="J43" s="26">
        <v>58.05</v>
      </c>
      <c r="K43" s="69">
        <v>0</v>
      </c>
      <c r="L43" s="26">
        <f>J43*K43</f>
        <v>0</v>
      </c>
      <c r="M43" s="32" t="s">
        <v>874</v>
      </c>
      <c r="Z43" s="12">
        <f>IF(AQ43="5",BJ43,0)</f>
        <v>0</v>
      </c>
      <c r="AB43" s="12">
        <f>IF(AQ43="1",BH43,0)</f>
        <v>0</v>
      </c>
      <c r="AC43" s="12">
        <f>IF(AQ43="1",BI43,0)</f>
        <v>0</v>
      </c>
      <c r="AD43" s="12">
        <f>IF(AQ43="7",BH43,0)</f>
        <v>0</v>
      </c>
      <c r="AE43" s="12">
        <f>IF(AQ43="7",BI43,0)</f>
        <v>0</v>
      </c>
      <c r="AF43" s="12">
        <f>IF(AQ43="2",BH43,0)</f>
        <v>0</v>
      </c>
      <c r="AG43" s="12">
        <f>IF(AQ43="2",BI43,0)</f>
        <v>0</v>
      </c>
      <c r="AH43" s="12">
        <f>IF(AQ43="0",BJ43,0)</f>
        <v>0</v>
      </c>
      <c r="AI43" s="27" t="s">
        <v>7</v>
      </c>
      <c r="AJ43" s="26">
        <f>IF(AN43=0,L43,0)</f>
        <v>0</v>
      </c>
      <c r="AK43" s="26">
        <f>IF(AN43=15,L43,0)</f>
        <v>0</v>
      </c>
      <c r="AL43" s="26">
        <f>IF(AN43=21,L43,0)</f>
        <v>0</v>
      </c>
      <c r="AN43" s="12">
        <v>21</v>
      </c>
      <c r="AO43" s="12">
        <f>K43*0</f>
        <v>0</v>
      </c>
      <c r="AP43" s="12">
        <f>K43*(1-0)</f>
        <v>0</v>
      </c>
      <c r="AQ43" s="32" t="s">
        <v>85</v>
      </c>
      <c r="AV43" s="12">
        <f>AW43+AX43</f>
        <v>0</v>
      </c>
      <c r="AW43" s="12">
        <f>J43*AO43</f>
        <v>0</v>
      </c>
      <c r="AX43" s="12">
        <f>J43*AP43</f>
        <v>0</v>
      </c>
      <c r="AY43" s="78" t="s">
        <v>888</v>
      </c>
      <c r="AZ43" s="78" t="s">
        <v>913</v>
      </c>
      <c r="BA43" s="27" t="s">
        <v>928</v>
      </c>
      <c r="BC43" s="12">
        <f>AW43+AX43</f>
        <v>0</v>
      </c>
      <c r="BD43" s="12">
        <f>K43/(100-BE43)*100</f>
        <v>0</v>
      </c>
      <c r="BE43" s="12">
        <v>0</v>
      </c>
      <c r="BF43" s="12">
        <f>43</f>
        <v>43</v>
      </c>
      <c r="BH43" s="26">
        <f>J43*AO43</f>
        <v>0</v>
      </c>
      <c r="BI43" s="26">
        <f>J43*AP43</f>
        <v>0</v>
      </c>
      <c r="BJ43" s="26">
        <f>J43*K43</f>
        <v>0</v>
      </c>
    </row>
    <row r="44" spans="1:62" x14ac:dyDescent="0.2">
      <c r="A44" s="18" t="s">
        <v>97</v>
      </c>
      <c r="B44" s="18" t="s">
        <v>7</v>
      </c>
      <c r="C44" s="18" t="s">
        <v>302</v>
      </c>
      <c r="D44" s="111" t="s">
        <v>494</v>
      </c>
      <c r="E44" s="112"/>
      <c r="F44" s="112"/>
      <c r="G44" s="112"/>
      <c r="H44" s="112"/>
      <c r="I44" s="18" t="s">
        <v>785</v>
      </c>
      <c r="J44" s="26">
        <v>58.05</v>
      </c>
      <c r="K44" s="69">
        <v>0</v>
      </c>
      <c r="L44" s="26">
        <f>J44*K44</f>
        <v>0</v>
      </c>
      <c r="M44" s="32" t="s">
        <v>874</v>
      </c>
      <c r="Z44" s="12">
        <f>IF(AQ44="5",BJ44,0)</f>
        <v>0</v>
      </c>
      <c r="AB44" s="12">
        <f>IF(AQ44="1",BH44,0)</f>
        <v>0</v>
      </c>
      <c r="AC44" s="12">
        <f>IF(AQ44="1",BI44,0)</f>
        <v>0</v>
      </c>
      <c r="AD44" s="12">
        <f>IF(AQ44="7",BH44,0)</f>
        <v>0</v>
      </c>
      <c r="AE44" s="12">
        <f>IF(AQ44="7",BI44,0)</f>
        <v>0</v>
      </c>
      <c r="AF44" s="12">
        <f>IF(AQ44="2",BH44,0)</f>
        <v>0</v>
      </c>
      <c r="AG44" s="12">
        <f>IF(AQ44="2",BI44,0)</f>
        <v>0</v>
      </c>
      <c r="AH44" s="12">
        <f>IF(AQ44="0",BJ44,0)</f>
        <v>0</v>
      </c>
      <c r="AI44" s="27" t="s">
        <v>7</v>
      </c>
      <c r="AJ44" s="26">
        <f>IF(AN44=0,L44,0)</f>
        <v>0</v>
      </c>
      <c r="AK44" s="26">
        <f>IF(AN44=15,L44,0)</f>
        <v>0</v>
      </c>
      <c r="AL44" s="26">
        <f>IF(AN44=21,L44,0)</f>
        <v>0</v>
      </c>
      <c r="AN44" s="12">
        <v>21</v>
      </c>
      <c r="AO44" s="12">
        <f>K44*0</f>
        <v>0</v>
      </c>
      <c r="AP44" s="12">
        <f>K44*(1-0)</f>
        <v>0</v>
      </c>
      <c r="AQ44" s="32" t="s">
        <v>85</v>
      </c>
      <c r="AV44" s="12">
        <f>AW44+AX44</f>
        <v>0</v>
      </c>
      <c r="AW44" s="12">
        <f>J44*AO44</f>
        <v>0</v>
      </c>
      <c r="AX44" s="12">
        <f>J44*AP44</f>
        <v>0</v>
      </c>
      <c r="AY44" s="78" t="s">
        <v>888</v>
      </c>
      <c r="AZ44" s="78" t="s">
        <v>913</v>
      </c>
      <c r="BA44" s="27" t="s">
        <v>928</v>
      </c>
      <c r="BC44" s="12">
        <f>AW44+AX44</f>
        <v>0</v>
      </c>
      <c r="BD44" s="12">
        <f>K44/(100-BE44)*100</f>
        <v>0</v>
      </c>
      <c r="BE44" s="12">
        <v>0</v>
      </c>
      <c r="BF44" s="12">
        <f>44</f>
        <v>44</v>
      </c>
      <c r="BH44" s="26">
        <f>J44*AO44</f>
        <v>0</v>
      </c>
      <c r="BI44" s="26">
        <f>J44*AP44</f>
        <v>0</v>
      </c>
      <c r="BJ44" s="26">
        <f>J44*K44</f>
        <v>0</v>
      </c>
    </row>
    <row r="45" spans="1:62" x14ac:dyDescent="0.2">
      <c r="C45" s="62" t="s">
        <v>296</v>
      </c>
      <c r="D45" s="113" t="s">
        <v>495</v>
      </c>
      <c r="E45" s="114"/>
      <c r="F45" s="114"/>
      <c r="G45" s="114"/>
      <c r="H45" s="114"/>
      <c r="I45" s="114"/>
      <c r="J45" s="114"/>
      <c r="K45" s="154"/>
      <c r="L45" s="114"/>
      <c r="M45" s="114"/>
    </row>
    <row r="46" spans="1:62" x14ac:dyDescent="0.2">
      <c r="A46" s="54"/>
      <c r="B46" s="19" t="s">
        <v>7</v>
      </c>
      <c r="C46" s="19" t="s">
        <v>15</v>
      </c>
      <c r="D46" s="117" t="s">
        <v>44</v>
      </c>
      <c r="E46" s="118"/>
      <c r="F46" s="118"/>
      <c r="G46" s="118"/>
      <c r="H46" s="118"/>
      <c r="I46" s="54" t="s">
        <v>5</v>
      </c>
      <c r="J46" s="54" t="s">
        <v>5</v>
      </c>
      <c r="K46" s="68" t="s">
        <v>5</v>
      </c>
      <c r="L46" s="80">
        <f>SUM(L47:L49)</f>
        <v>0</v>
      </c>
      <c r="M46" s="27"/>
      <c r="AI46" s="27" t="s">
        <v>7</v>
      </c>
      <c r="AS46" s="80">
        <f>SUM(AJ47:AJ49)</f>
        <v>0</v>
      </c>
      <c r="AT46" s="80">
        <f>SUM(AK47:AK49)</f>
        <v>0</v>
      </c>
      <c r="AU46" s="80">
        <f>SUM(AL47:AL49)</f>
        <v>0</v>
      </c>
    </row>
    <row r="47" spans="1:62" x14ac:dyDescent="0.2">
      <c r="A47" s="18" t="s">
        <v>98</v>
      </c>
      <c r="B47" s="18" t="s">
        <v>7</v>
      </c>
      <c r="C47" s="18" t="s">
        <v>303</v>
      </c>
      <c r="D47" s="111" t="s">
        <v>496</v>
      </c>
      <c r="E47" s="112"/>
      <c r="F47" s="112"/>
      <c r="G47" s="112"/>
      <c r="H47" s="112"/>
      <c r="I47" s="18" t="s">
        <v>785</v>
      </c>
      <c r="J47" s="26">
        <v>5.46</v>
      </c>
      <c r="K47" s="69">
        <v>0</v>
      </c>
      <c r="L47" s="26">
        <f>J47*K47</f>
        <v>0</v>
      </c>
      <c r="M47" s="32" t="s">
        <v>874</v>
      </c>
      <c r="Z47" s="12">
        <f>IF(AQ47="5",BJ47,0)</f>
        <v>0</v>
      </c>
      <c r="AB47" s="12">
        <f>IF(AQ47="1",BH47,0)</f>
        <v>0</v>
      </c>
      <c r="AC47" s="12">
        <f>IF(AQ47="1",BI47,0)</f>
        <v>0</v>
      </c>
      <c r="AD47" s="12">
        <f>IF(AQ47="7",BH47,0)</f>
        <v>0</v>
      </c>
      <c r="AE47" s="12">
        <f>IF(AQ47="7",BI47,0)</f>
        <v>0</v>
      </c>
      <c r="AF47" s="12">
        <f>IF(AQ47="2",BH47,0)</f>
        <v>0</v>
      </c>
      <c r="AG47" s="12">
        <f>IF(AQ47="2",BI47,0)</f>
        <v>0</v>
      </c>
      <c r="AH47" s="12">
        <f>IF(AQ47="0",BJ47,0)</f>
        <v>0</v>
      </c>
      <c r="AI47" s="27" t="s">
        <v>7</v>
      </c>
      <c r="AJ47" s="26">
        <f>IF(AN47=0,L47,0)</f>
        <v>0</v>
      </c>
      <c r="AK47" s="26">
        <f>IF(AN47=15,L47,0)</f>
        <v>0</v>
      </c>
      <c r="AL47" s="26">
        <f>IF(AN47=21,L47,0)</f>
        <v>0</v>
      </c>
      <c r="AN47" s="12">
        <v>21</v>
      </c>
      <c r="AO47" s="12">
        <f>K47*0</f>
        <v>0</v>
      </c>
      <c r="AP47" s="12">
        <f>K47*(1-0)</f>
        <v>0</v>
      </c>
      <c r="AQ47" s="32" t="s">
        <v>85</v>
      </c>
      <c r="AV47" s="12">
        <f>AW47+AX47</f>
        <v>0</v>
      </c>
      <c r="AW47" s="12">
        <f>J47*AO47</f>
        <v>0</v>
      </c>
      <c r="AX47" s="12">
        <f>J47*AP47</f>
        <v>0</v>
      </c>
      <c r="AY47" s="78" t="s">
        <v>889</v>
      </c>
      <c r="AZ47" s="78" t="s">
        <v>913</v>
      </c>
      <c r="BA47" s="27" t="s">
        <v>928</v>
      </c>
      <c r="BC47" s="12">
        <f>AW47+AX47</f>
        <v>0</v>
      </c>
      <c r="BD47" s="12">
        <f>K47/(100-BE47)*100</f>
        <v>0</v>
      </c>
      <c r="BE47" s="12">
        <v>0</v>
      </c>
      <c r="BF47" s="12">
        <f>47</f>
        <v>47</v>
      </c>
      <c r="BH47" s="26">
        <f>J47*AO47</f>
        <v>0</v>
      </c>
      <c r="BI47" s="26">
        <f>J47*AP47</f>
        <v>0</v>
      </c>
      <c r="BJ47" s="26">
        <f>J47*K47</f>
        <v>0</v>
      </c>
    </row>
    <row r="48" spans="1:62" ht="25.7" customHeight="1" x14ac:dyDescent="0.2">
      <c r="C48" s="62" t="s">
        <v>296</v>
      </c>
      <c r="D48" s="113" t="s">
        <v>499</v>
      </c>
      <c r="E48" s="114"/>
      <c r="F48" s="114"/>
      <c r="G48" s="114"/>
      <c r="H48" s="114"/>
      <c r="I48" s="114"/>
      <c r="J48" s="114"/>
      <c r="K48" s="154"/>
      <c r="L48" s="114"/>
      <c r="M48" s="114"/>
    </row>
    <row r="49" spans="1:62" x14ac:dyDescent="0.2">
      <c r="A49" s="18" t="s">
        <v>99</v>
      </c>
      <c r="B49" s="18" t="s">
        <v>7</v>
      </c>
      <c r="C49" s="18" t="s">
        <v>305</v>
      </c>
      <c r="D49" s="111" t="s">
        <v>502</v>
      </c>
      <c r="E49" s="112"/>
      <c r="F49" s="112"/>
      <c r="G49" s="112"/>
      <c r="H49" s="112"/>
      <c r="I49" s="18" t="s">
        <v>785</v>
      </c>
      <c r="J49" s="26">
        <v>5.46</v>
      </c>
      <c r="K49" s="69">
        <v>0</v>
      </c>
      <c r="L49" s="26">
        <f>J49*K49</f>
        <v>0</v>
      </c>
      <c r="M49" s="32" t="s">
        <v>874</v>
      </c>
      <c r="Z49" s="12">
        <f>IF(AQ49="5",BJ49,0)</f>
        <v>0</v>
      </c>
      <c r="AB49" s="12">
        <f>IF(AQ49="1",BH49,0)</f>
        <v>0</v>
      </c>
      <c r="AC49" s="12">
        <f>IF(AQ49="1",BI49,0)</f>
        <v>0</v>
      </c>
      <c r="AD49" s="12">
        <f>IF(AQ49="7",BH49,0)</f>
        <v>0</v>
      </c>
      <c r="AE49" s="12">
        <f>IF(AQ49="7",BI49,0)</f>
        <v>0</v>
      </c>
      <c r="AF49" s="12">
        <f>IF(AQ49="2",BH49,0)</f>
        <v>0</v>
      </c>
      <c r="AG49" s="12">
        <f>IF(AQ49="2",BI49,0)</f>
        <v>0</v>
      </c>
      <c r="AH49" s="12">
        <f>IF(AQ49="0",BJ49,0)</f>
        <v>0</v>
      </c>
      <c r="AI49" s="27" t="s">
        <v>7</v>
      </c>
      <c r="AJ49" s="26">
        <f>IF(AN49=0,L49,0)</f>
        <v>0</v>
      </c>
      <c r="AK49" s="26">
        <f>IF(AN49=15,L49,0)</f>
        <v>0</v>
      </c>
      <c r="AL49" s="26">
        <f>IF(AN49=21,L49,0)</f>
        <v>0</v>
      </c>
      <c r="AN49" s="12">
        <v>21</v>
      </c>
      <c r="AO49" s="12">
        <f>K49*0</f>
        <v>0</v>
      </c>
      <c r="AP49" s="12">
        <f>K49*(1-0)</f>
        <v>0</v>
      </c>
      <c r="AQ49" s="32" t="s">
        <v>85</v>
      </c>
      <c r="AV49" s="12">
        <f>AW49+AX49</f>
        <v>0</v>
      </c>
      <c r="AW49" s="12">
        <f>J49*AO49</f>
        <v>0</v>
      </c>
      <c r="AX49" s="12">
        <f>J49*AP49</f>
        <v>0</v>
      </c>
      <c r="AY49" s="78" t="s">
        <v>889</v>
      </c>
      <c r="AZ49" s="78" t="s">
        <v>913</v>
      </c>
      <c r="BA49" s="27" t="s">
        <v>928</v>
      </c>
      <c r="BC49" s="12">
        <f>AW49+AX49</f>
        <v>0</v>
      </c>
      <c r="BD49" s="12">
        <f>K49/(100-BE49)*100</f>
        <v>0</v>
      </c>
      <c r="BE49" s="12">
        <v>0</v>
      </c>
      <c r="BF49" s="12">
        <f>49</f>
        <v>49</v>
      </c>
      <c r="BH49" s="26">
        <f>J49*AO49</f>
        <v>0</v>
      </c>
      <c r="BI49" s="26">
        <f>J49*AP49</f>
        <v>0</v>
      </c>
      <c r="BJ49" s="26">
        <f>J49*K49</f>
        <v>0</v>
      </c>
    </row>
    <row r="50" spans="1:62" x14ac:dyDescent="0.2">
      <c r="C50" s="62" t="s">
        <v>296</v>
      </c>
      <c r="D50" s="113" t="s">
        <v>495</v>
      </c>
      <c r="E50" s="114"/>
      <c r="F50" s="114"/>
      <c r="G50" s="114"/>
      <c r="H50" s="114"/>
      <c r="I50" s="114"/>
      <c r="J50" s="114"/>
      <c r="K50" s="154"/>
      <c r="L50" s="114"/>
      <c r="M50" s="114"/>
    </row>
    <row r="51" spans="1:62" x14ac:dyDescent="0.2">
      <c r="A51" s="54"/>
      <c r="B51" s="19" t="s">
        <v>7</v>
      </c>
      <c r="C51" s="19" t="s">
        <v>16</v>
      </c>
      <c r="D51" s="117" t="s">
        <v>45</v>
      </c>
      <c r="E51" s="118"/>
      <c r="F51" s="118"/>
      <c r="G51" s="118"/>
      <c r="H51" s="118"/>
      <c r="I51" s="54" t="s">
        <v>5</v>
      </c>
      <c r="J51" s="54" t="s">
        <v>5</v>
      </c>
      <c r="K51" s="68" t="s">
        <v>5</v>
      </c>
      <c r="L51" s="80">
        <f>SUM(L52:L57)</f>
        <v>0</v>
      </c>
      <c r="M51" s="27"/>
      <c r="AI51" s="27" t="s">
        <v>7</v>
      </c>
      <c r="AS51" s="80">
        <f>SUM(AJ52:AJ57)</f>
        <v>0</v>
      </c>
      <c r="AT51" s="80">
        <f>SUM(AK52:AK57)</f>
        <v>0</v>
      </c>
      <c r="AU51" s="80">
        <f>SUM(AL52:AL57)</f>
        <v>0</v>
      </c>
    </row>
    <row r="52" spans="1:62" x14ac:dyDescent="0.2">
      <c r="A52" s="18" t="s">
        <v>100</v>
      </c>
      <c r="B52" s="18" t="s">
        <v>7</v>
      </c>
      <c r="C52" s="18" t="s">
        <v>306</v>
      </c>
      <c r="D52" s="111" t="s">
        <v>503</v>
      </c>
      <c r="E52" s="112"/>
      <c r="F52" s="112"/>
      <c r="G52" s="112"/>
      <c r="H52" s="112"/>
      <c r="I52" s="18" t="s">
        <v>785</v>
      </c>
      <c r="J52" s="26">
        <v>160.58000000000001</v>
      </c>
      <c r="K52" s="69">
        <v>0</v>
      </c>
      <c r="L52" s="26">
        <f t="shared" ref="L52:L57" si="0">J52*K52</f>
        <v>0</v>
      </c>
      <c r="M52" s="32" t="s">
        <v>874</v>
      </c>
      <c r="Z52" s="12">
        <f t="shared" ref="Z52:Z57" si="1">IF(AQ52="5",BJ52,0)</f>
        <v>0</v>
      </c>
      <c r="AB52" s="12">
        <f t="shared" ref="AB52:AB57" si="2">IF(AQ52="1",BH52,0)</f>
        <v>0</v>
      </c>
      <c r="AC52" s="12">
        <f t="shared" ref="AC52:AC57" si="3">IF(AQ52="1",BI52,0)</f>
        <v>0</v>
      </c>
      <c r="AD52" s="12">
        <f t="shared" ref="AD52:AD57" si="4">IF(AQ52="7",BH52,0)</f>
        <v>0</v>
      </c>
      <c r="AE52" s="12">
        <f t="shared" ref="AE52:AE57" si="5">IF(AQ52="7",BI52,0)</f>
        <v>0</v>
      </c>
      <c r="AF52" s="12">
        <f t="shared" ref="AF52:AF57" si="6">IF(AQ52="2",BH52,0)</f>
        <v>0</v>
      </c>
      <c r="AG52" s="12">
        <f t="shared" ref="AG52:AG57" si="7">IF(AQ52="2",BI52,0)</f>
        <v>0</v>
      </c>
      <c r="AH52" s="12">
        <f t="shared" ref="AH52:AH57" si="8">IF(AQ52="0",BJ52,0)</f>
        <v>0</v>
      </c>
      <c r="AI52" s="27" t="s">
        <v>7</v>
      </c>
      <c r="AJ52" s="26">
        <f t="shared" ref="AJ52:AJ57" si="9">IF(AN52=0,L52,0)</f>
        <v>0</v>
      </c>
      <c r="AK52" s="26">
        <f t="shared" ref="AK52:AK57" si="10">IF(AN52=15,L52,0)</f>
        <v>0</v>
      </c>
      <c r="AL52" s="26">
        <f t="shared" ref="AL52:AL57" si="11">IF(AN52=21,L52,0)</f>
        <v>0</v>
      </c>
      <c r="AN52" s="12">
        <v>21</v>
      </c>
      <c r="AO52" s="12">
        <f t="shared" ref="AO52:AO57" si="12">K52*0</f>
        <v>0</v>
      </c>
      <c r="AP52" s="12">
        <f t="shared" ref="AP52:AP57" si="13">K52*(1-0)</f>
        <v>0</v>
      </c>
      <c r="AQ52" s="32" t="s">
        <v>85</v>
      </c>
      <c r="AV52" s="12">
        <f t="shared" ref="AV52:AV57" si="14">AW52+AX52</f>
        <v>0</v>
      </c>
      <c r="AW52" s="12">
        <f t="shared" ref="AW52:AW57" si="15">J52*AO52</f>
        <v>0</v>
      </c>
      <c r="AX52" s="12">
        <f t="shared" ref="AX52:AX57" si="16">J52*AP52</f>
        <v>0</v>
      </c>
      <c r="AY52" s="78" t="s">
        <v>890</v>
      </c>
      <c r="AZ52" s="78" t="s">
        <v>913</v>
      </c>
      <c r="BA52" s="27" t="s">
        <v>928</v>
      </c>
      <c r="BC52" s="12">
        <f t="shared" ref="BC52:BC57" si="17">AW52+AX52</f>
        <v>0</v>
      </c>
      <c r="BD52" s="12">
        <f t="shared" ref="BD52:BD57" si="18">K52/(100-BE52)*100</f>
        <v>0</v>
      </c>
      <c r="BE52" s="12">
        <v>0</v>
      </c>
      <c r="BF52" s="12">
        <f>52</f>
        <v>52</v>
      </c>
      <c r="BH52" s="26">
        <f t="shared" ref="BH52:BH57" si="19">J52*AO52</f>
        <v>0</v>
      </c>
      <c r="BI52" s="26">
        <f t="shared" ref="BI52:BI57" si="20">J52*AP52</f>
        <v>0</v>
      </c>
      <c r="BJ52" s="26">
        <f t="shared" ref="BJ52:BJ57" si="21">J52*K52</f>
        <v>0</v>
      </c>
    </row>
    <row r="53" spans="1:62" x14ac:dyDescent="0.2">
      <c r="A53" s="18" t="s">
        <v>101</v>
      </c>
      <c r="B53" s="18" t="s">
        <v>7</v>
      </c>
      <c r="C53" s="18" t="s">
        <v>307</v>
      </c>
      <c r="D53" s="111" t="s">
        <v>506</v>
      </c>
      <c r="E53" s="112"/>
      <c r="F53" s="112"/>
      <c r="G53" s="112"/>
      <c r="H53" s="112"/>
      <c r="I53" s="18" t="s">
        <v>785</v>
      </c>
      <c r="J53" s="26">
        <v>80.290000000000006</v>
      </c>
      <c r="K53" s="69">
        <v>0</v>
      </c>
      <c r="L53" s="26">
        <f t="shared" si="0"/>
        <v>0</v>
      </c>
      <c r="M53" s="32" t="s">
        <v>874</v>
      </c>
      <c r="Z53" s="12">
        <f t="shared" si="1"/>
        <v>0</v>
      </c>
      <c r="AB53" s="12">
        <f t="shared" si="2"/>
        <v>0</v>
      </c>
      <c r="AC53" s="12">
        <f t="shared" si="3"/>
        <v>0</v>
      </c>
      <c r="AD53" s="12">
        <f t="shared" si="4"/>
        <v>0</v>
      </c>
      <c r="AE53" s="12">
        <f t="shared" si="5"/>
        <v>0</v>
      </c>
      <c r="AF53" s="12">
        <f t="shared" si="6"/>
        <v>0</v>
      </c>
      <c r="AG53" s="12">
        <f t="shared" si="7"/>
        <v>0</v>
      </c>
      <c r="AH53" s="12">
        <f t="shared" si="8"/>
        <v>0</v>
      </c>
      <c r="AI53" s="27" t="s">
        <v>7</v>
      </c>
      <c r="AJ53" s="26">
        <f t="shared" si="9"/>
        <v>0</v>
      </c>
      <c r="AK53" s="26">
        <f t="shared" si="10"/>
        <v>0</v>
      </c>
      <c r="AL53" s="26">
        <f t="shared" si="11"/>
        <v>0</v>
      </c>
      <c r="AN53" s="12">
        <v>21</v>
      </c>
      <c r="AO53" s="12">
        <f t="shared" si="12"/>
        <v>0</v>
      </c>
      <c r="AP53" s="12">
        <f t="shared" si="13"/>
        <v>0</v>
      </c>
      <c r="AQ53" s="32" t="s">
        <v>85</v>
      </c>
      <c r="AV53" s="12">
        <f t="shared" si="14"/>
        <v>0</v>
      </c>
      <c r="AW53" s="12">
        <f t="shared" si="15"/>
        <v>0</v>
      </c>
      <c r="AX53" s="12">
        <f t="shared" si="16"/>
        <v>0</v>
      </c>
      <c r="AY53" s="78" t="s">
        <v>890</v>
      </c>
      <c r="AZ53" s="78" t="s">
        <v>913</v>
      </c>
      <c r="BA53" s="27" t="s">
        <v>928</v>
      </c>
      <c r="BC53" s="12">
        <f t="shared" si="17"/>
        <v>0</v>
      </c>
      <c r="BD53" s="12">
        <f t="shared" si="18"/>
        <v>0</v>
      </c>
      <c r="BE53" s="12">
        <v>0</v>
      </c>
      <c r="BF53" s="12">
        <f>53</f>
        <v>53</v>
      </c>
      <c r="BH53" s="26">
        <f t="shared" si="19"/>
        <v>0</v>
      </c>
      <c r="BI53" s="26">
        <f t="shared" si="20"/>
        <v>0</v>
      </c>
      <c r="BJ53" s="26">
        <f t="shared" si="21"/>
        <v>0</v>
      </c>
    </row>
    <row r="54" spans="1:62" x14ac:dyDescent="0.2">
      <c r="A54" s="18" t="s">
        <v>102</v>
      </c>
      <c r="B54" s="18" t="s">
        <v>7</v>
      </c>
      <c r="C54" s="18" t="s">
        <v>308</v>
      </c>
      <c r="D54" s="111" t="s">
        <v>510</v>
      </c>
      <c r="E54" s="112"/>
      <c r="F54" s="112"/>
      <c r="G54" s="112"/>
      <c r="H54" s="112"/>
      <c r="I54" s="18" t="s">
        <v>784</v>
      </c>
      <c r="J54" s="26">
        <v>9</v>
      </c>
      <c r="K54" s="69">
        <v>0</v>
      </c>
      <c r="L54" s="26">
        <f t="shared" si="0"/>
        <v>0</v>
      </c>
      <c r="M54" s="32" t="s">
        <v>874</v>
      </c>
      <c r="Z54" s="12">
        <f t="shared" si="1"/>
        <v>0</v>
      </c>
      <c r="AB54" s="12">
        <f t="shared" si="2"/>
        <v>0</v>
      </c>
      <c r="AC54" s="12">
        <f t="shared" si="3"/>
        <v>0</v>
      </c>
      <c r="AD54" s="12">
        <f t="shared" si="4"/>
        <v>0</v>
      </c>
      <c r="AE54" s="12">
        <f t="shared" si="5"/>
        <v>0</v>
      </c>
      <c r="AF54" s="12">
        <f t="shared" si="6"/>
        <v>0</v>
      </c>
      <c r="AG54" s="12">
        <f t="shared" si="7"/>
        <v>0</v>
      </c>
      <c r="AH54" s="12">
        <f t="shared" si="8"/>
        <v>0</v>
      </c>
      <c r="AI54" s="27" t="s">
        <v>7</v>
      </c>
      <c r="AJ54" s="26">
        <f t="shared" si="9"/>
        <v>0</v>
      </c>
      <c r="AK54" s="26">
        <f t="shared" si="10"/>
        <v>0</v>
      </c>
      <c r="AL54" s="26">
        <f t="shared" si="11"/>
        <v>0</v>
      </c>
      <c r="AN54" s="12">
        <v>21</v>
      </c>
      <c r="AO54" s="12">
        <f t="shared" si="12"/>
        <v>0</v>
      </c>
      <c r="AP54" s="12">
        <f t="shared" si="13"/>
        <v>0</v>
      </c>
      <c r="AQ54" s="32" t="s">
        <v>85</v>
      </c>
      <c r="AV54" s="12">
        <f t="shared" si="14"/>
        <v>0</v>
      </c>
      <c r="AW54" s="12">
        <f t="shared" si="15"/>
        <v>0</v>
      </c>
      <c r="AX54" s="12">
        <f t="shared" si="16"/>
        <v>0</v>
      </c>
      <c r="AY54" s="78" t="s">
        <v>890</v>
      </c>
      <c r="AZ54" s="78" t="s">
        <v>913</v>
      </c>
      <c r="BA54" s="27" t="s">
        <v>928</v>
      </c>
      <c r="BC54" s="12">
        <f t="shared" si="17"/>
        <v>0</v>
      </c>
      <c r="BD54" s="12">
        <f t="shared" si="18"/>
        <v>0</v>
      </c>
      <c r="BE54" s="12">
        <v>0</v>
      </c>
      <c r="BF54" s="12">
        <f>54</f>
        <v>54</v>
      </c>
      <c r="BH54" s="26">
        <f t="shared" si="19"/>
        <v>0</v>
      </c>
      <c r="BI54" s="26">
        <f t="shared" si="20"/>
        <v>0</v>
      </c>
      <c r="BJ54" s="26">
        <f t="shared" si="21"/>
        <v>0</v>
      </c>
    </row>
    <row r="55" spans="1:62" x14ac:dyDescent="0.2">
      <c r="A55" s="18" t="s">
        <v>103</v>
      </c>
      <c r="B55" s="18" t="s">
        <v>7</v>
      </c>
      <c r="C55" s="18" t="s">
        <v>309</v>
      </c>
      <c r="D55" s="111" t="s">
        <v>511</v>
      </c>
      <c r="E55" s="112"/>
      <c r="F55" s="112"/>
      <c r="G55" s="112"/>
      <c r="H55" s="112"/>
      <c r="I55" s="18" t="s">
        <v>784</v>
      </c>
      <c r="J55" s="26">
        <v>9</v>
      </c>
      <c r="K55" s="69">
        <v>0</v>
      </c>
      <c r="L55" s="26">
        <f t="shared" si="0"/>
        <v>0</v>
      </c>
      <c r="M55" s="32" t="s">
        <v>874</v>
      </c>
      <c r="Z55" s="12">
        <f t="shared" si="1"/>
        <v>0</v>
      </c>
      <c r="AB55" s="12">
        <f t="shared" si="2"/>
        <v>0</v>
      </c>
      <c r="AC55" s="12">
        <f t="shared" si="3"/>
        <v>0</v>
      </c>
      <c r="AD55" s="12">
        <f t="shared" si="4"/>
        <v>0</v>
      </c>
      <c r="AE55" s="12">
        <f t="shared" si="5"/>
        <v>0</v>
      </c>
      <c r="AF55" s="12">
        <f t="shared" si="6"/>
        <v>0</v>
      </c>
      <c r="AG55" s="12">
        <f t="shared" si="7"/>
        <v>0</v>
      </c>
      <c r="AH55" s="12">
        <f t="shared" si="8"/>
        <v>0</v>
      </c>
      <c r="AI55" s="27" t="s">
        <v>7</v>
      </c>
      <c r="AJ55" s="26">
        <f t="shared" si="9"/>
        <v>0</v>
      </c>
      <c r="AK55" s="26">
        <f t="shared" si="10"/>
        <v>0</v>
      </c>
      <c r="AL55" s="26">
        <f t="shared" si="11"/>
        <v>0</v>
      </c>
      <c r="AN55" s="12">
        <v>21</v>
      </c>
      <c r="AO55" s="12">
        <f t="shared" si="12"/>
        <v>0</v>
      </c>
      <c r="AP55" s="12">
        <f t="shared" si="13"/>
        <v>0</v>
      </c>
      <c r="AQ55" s="32" t="s">
        <v>85</v>
      </c>
      <c r="AV55" s="12">
        <f t="shared" si="14"/>
        <v>0</v>
      </c>
      <c r="AW55" s="12">
        <f t="shared" si="15"/>
        <v>0</v>
      </c>
      <c r="AX55" s="12">
        <f t="shared" si="16"/>
        <v>0</v>
      </c>
      <c r="AY55" s="78" t="s">
        <v>890</v>
      </c>
      <c r="AZ55" s="78" t="s">
        <v>913</v>
      </c>
      <c r="BA55" s="27" t="s">
        <v>928</v>
      </c>
      <c r="BC55" s="12">
        <f t="shared" si="17"/>
        <v>0</v>
      </c>
      <c r="BD55" s="12">
        <f t="shared" si="18"/>
        <v>0</v>
      </c>
      <c r="BE55" s="12">
        <v>0</v>
      </c>
      <c r="BF55" s="12">
        <f>55</f>
        <v>55</v>
      </c>
      <c r="BH55" s="26">
        <f t="shared" si="19"/>
        <v>0</v>
      </c>
      <c r="BI55" s="26">
        <f t="shared" si="20"/>
        <v>0</v>
      </c>
      <c r="BJ55" s="26">
        <f t="shared" si="21"/>
        <v>0</v>
      </c>
    </row>
    <row r="56" spans="1:62" x14ac:dyDescent="0.2">
      <c r="A56" s="18" t="s">
        <v>104</v>
      </c>
      <c r="B56" s="18" t="s">
        <v>7</v>
      </c>
      <c r="C56" s="18" t="s">
        <v>310</v>
      </c>
      <c r="D56" s="111" t="s">
        <v>512</v>
      </c>
      <c r="E56" s="112"/>
      <c r="F56" s="112"/>
      <c r="G56" s="112"/>
      <c r="H56" s="112"/>
      <c r="I56" s="18" t="s">
        <v>784</v>
      </c>
      <c r="J56" s="26">
        <v>9</v>
      </c>
      <c r="K56" s="69">
        <v>0</v>
      </c>
      <c r="L56" s="26">
        <f t="shared" si="0"/>
        <v>0</v>
      </c>
      <c r="M56" s="32" t="s">
        <v>874</v>
      </c>
      <c r="Z56" s="12">
        <f t="shared" si="1"/>
        <v>0</v>
      </c>
      <c r="AB56" s="12">
        <f t="shared" si="2"/>
        <v>0</v>
      </c>
      <c r="AC56" s="12">
        <f t="shared" si="3"/>
        <v>0</v>
      </c>
      <c r="AD56" s="12">
        <f t="shared" si="4"/>
        <v>0</v>
      </c>
      <c r="AE56" s="12">
        <f t="shared" si="5"/>
        <v>0</v>
      </c>
      <c r="AF56" s="12">
        <f t="shared" si="6"/>
        <v>0</v>
      </c>
      <c r="AG56" s="12">
        <f t="shared" si="7"/>
        <v>0</v>
      </c>
      <c r="AH56" s="12">
        <f t="shared" si="8"/>
        <v>0</v>
      </c>
      <c r="AI56" s="27" t="s">
        <v>7</v>
      </c>
      <c r="AJ56" s="26">
        <f t="shared" si="9"/>
        <v>0</v>
      </c>
      <c r="AK56" s="26">
        <f t="shared" si="10"/>
        <v>0</v>
      </c>
      <c r="AL56" s="26">
        <f t="shared" si="11"/>
        <v>0</v>
      </c>
      <c r="AN56" s="12">
        <v>21</v>
      </c>
      <c r="AO56" s="12">
        <f t="shared" si="12"/>
        <v>0</v>
      </c>
      <c r="AP56" s="12">
        <f t="shared" si="13"/>
        <v>0</v>
      </c>
      <c r="AQ56" s="32" t="s">
        <v>85</v>
      </c>
      <c r="AV56" s="12">
        <f t="shared" si="14"/>
        <v>0</v>
      </c>
      <c r="AW56" s="12">
        <f t="shared" si="15"/>
        <v>0</v>
      </c>
      <c r="AX56" s="12">
        <f t="shared" si="16"/>
        <v>0</v>
      </c>
      <c r="AY56" s="78" t="s">
        <v>890</v>
      </c>
      <c r="AZ56" s="78" t="s">
        <v>913</v>
      </c>
      <c r="BA56" s="27" t="s">
        <v>928</v>
      </c>
      <c r="BC56" s="12">
        <f t="shared" si="17"/>
        <v>0</v>
      </c>
      <c r="BD56" s="12">
        <f t="shared" si="18"/>
        <v>0</v>
      </c>
      <c r="BE56" s="12">
        <v>0</v>
      </c>
      <c r="BF56" s="12">
        <f>56</f>
        <v>56</v>
      </c>
      <c r="BH56" s="26">
        <f t="shared" si="19"/>
        <v>0</v>
      </c>
      <c r="BI56" s="26">
        <f t="shared" si="20"/>
        <v>0</v>
      </c>
      <c r="BJ56" s="26">
        <f t="shared" si="21"/>
        <v>0</v>
      </c>
    </row>
    <row r="57" spans="1:62" x14ac:dyDescent="0.2">
      <c r="A57" s="18" t="s">
        <v>20</v>
      </c>
      <c r="B57" s="18" t="s">
        <v>7</v>
      </c>
      <c r="C57" s="18" t="s">
        <v>311</v>
      </c>
      <c r="D57" s="111" t="s">
        <v>513</v>
      </c>
      <c r="E57" s="112"/>
      <c r="F57" s="112"/>
      <c r="G57" s="112"/>
      <c r="H57" s="112"/>
      <c r="I57" s="18" t="s">
        <v>786</v>
      </c>
      <c r="J57" s="26">
        <v>0.98199999999999998</v>
      </c>
      <c r="K57" s="69">
        <v>0</v>
      </c>
      <c r="L57" s="26">
        <f t="shared" si="0"/>
        <v>0</v>
      </c>
      <c r="M57" s="32" t="s">
        <v>874</v>
      </c>
      <c r="Z57" s="12">
        <f t="shared" si="1"/>
        <v>0</v>
      </c>
      <c r="AB57" s="12">
        <f t="shared" si="2"/>
        <v>0</v>
      </c>
      <c r="AC57" s="12">
        <f t="shared" si="3"/>
        <v>0</v>
      </c>
      <c r="AD57" s="12">
        <f t="shared" si="4"/>
        <v>0</v>
      </c>
      <c r="AE57" s="12">
        <f t="shared" si="5"/>
        <v>0</v>
      </c>
      <c r="AF57" s="12">
        <f t="shared" si="6"/>
        <v>0</v>
      </c>
      <c r="AG57" s="12">
        <f t="shared" si="7"/>
        <v>0</v>
      </c>
      <c r="AH57" s="12">
        <f t="shared" si="8"/>
        <v>0</v>
      </c>
      <c r="AI57" s="27" t="s">
        <v>7</v>
      </c>
      <c r="AJ57" s="26">
        <f t="shared" si="9"/>
        <v>0</v>
      </c>
      <c r="AK57" s="26">
        <f t="shared" si="10"/>
        <v>0</v>
      </c>
      <c r="AL57" s="26">
        <f t="shared" si="11"/>
        <v>0</v>
      </c>
      <c r="AN57" s="12">
        <v>21</v>
      </c>
      <c r="AO57" s="12">
        <f t="shared" si="12"/>
        <v>0</v>
      </c>
      <c r="AP57" s="12">
        <f t="shared" si="13"/>
        <v>0</v>
      </c>
      <c r="AQ57" s="32" t="s">
        <v>85</v>
      </c>
      <c r="AV57" s="12">
        <f t="shared" si="14"/>
        <v>0</v>
      </c>
      <c r="AW57" s="12">
        <f t="shared" si="15"/>
        <v>0</v>
      </c>
      <c r="AX57" s="12">
        <f t="shared" si="16"/>
        <v>0</v>
      </c>
      <c r="AY57" s="78" t="s">
        <v>890</v>
      </c>
      <c r="AZ57" s="78" t="s">
        <v>913</v>
      </c>
      <c r="BA57" s="27" t="s">
        <v>928</v>
      </c>
      <c r="BC57" s="12">
        <f t="shared" si="17"/>
        <v>0</v>
      </c>
      <c r="BD57" s="12">
        <f t="shared" si="18"/>
        <v>0</v>
      </c>
      <c r="BE57" s="12">
        <v>0</v>
      </c>
      <c r="BF57" s="12">
        <f>57</f>
        <v>57</v>
      </c>
      <c r="BH57" s="26">
        <f t="shared" si="19"/>
        <v>0</v>
      </c>
      <c r="BI57" s="26">
        <f t="shared" si="20"/>
        <v>0</v>
      </c>
      <c r="BJ57" s="26">
        <f t="shared" si="21"/>
        <v>0</v>
      </c>
    </row>
    <row r="58" spans="1:62" x14ac:dyDescent="0.2">
      <c r="A58" s="54"/>
      <c r="B58" s="19" t="s">
        <v>7</v>
      </c>
      <c r="C58" s="19" t="s">
        <v>17</v>
      </c>
      <c r="D58" s="117" t="s">
        <v>46</v>
      </c>
      <c r="E58" s="118"/>
      <c r="F58" s="118"/>
      <c r="G58" s="118"/>
      <c r="H58" s="118"/>
      <c r="I58" s="54" t="s">
        <v>5</v>
      </c>
      <c r="J58" s="54" t="s">
        <v>5</v>
      </c>
      <c r="K58" s="68" t="s">
        <v>5</v>
      </c>
      <c r="L58" s="80">
        <f>SUM(L59:L63)</f>
        <v>0</v>
      </c>
      <c r="M58" s="27"/>
      <c r="AI58" s="27" t="s">
        <v>7</v>
      </c>
      <c r="AS58" s="80">
        <f>SUM(AJ59:AJ63)</f>
        <v>0</v>
      </c>
      <c r="AT58" s="80">
        <f>SUM(AK59:AK63)</f>
        <v>0</v>
      </c>
      <c r="AU58" s="80">
        <f>SUM(AL59:AL63)</f>
        <v>0</v>
      </c>
    </row>
    <row r="59" spans="1:62" x14ac:dyDescent="0.2">
      <c r="A59" s="18" t="s">
        <v>105</v>
      </c>
      <c r="B59" s="18" t="s">
        <v>7</v>
      </c>
      <c r="C59" s="18" t="s">
        <v>314</v>
      </c>
      <c r="D59" s="111" t="s">
        <v>519</v>
      </c>
      <c r="E59" s="112"/>
      <c r="F59" s="112"/>
      <c r="G59" s="112"/>
      <c r="H59" s="112"/>
      <c r="I59" s="18" t="s">
        <v>784</v>
      </c>
      <c r="J59" s="26">
        <v>9</v>
      </c>
      <c r="K59" s="69">
        <v>0</v>
      </c>
      <c r="L59" s="26">
        <f>J59*K59</f>
        <v>0</v>
      </c>
      <c r="M59" s="32" t="s">
        <v>874</v>
      </c>
      <c r="Z59" s="12">
        <f>IF(AQ59="5",BJ59,0)</f>
        <v>0</v>
      </c>
      <c r="AB59" s="12">
        <f>IF(AQ59="1",BH59,0)</f>
        <v>0</v>
      </c>
      <c r="AC59" s="12">
        <f>IF(AQ59="1",BI59,0)</f>
        <v>0</v>
      </c>
      <c r="AD59" s="12">
        <f>IF(AQ59="7",BH59,0)</f>
        <v>0</v>
      </c>
      <c r="AE59" s="12">
        <f>IF(AQ59="7",BI59,0)</f>
        <v>0</v>
      </c>
      <c r="AF59" s="12">
        <f>IF(AQ59="2",BH59,0)</f>
        <v>0</v>
      </c>
      <c r="AG59" s="12">
        <f>IF(AQ59="2",BI59,0)</f>
        <v>0</v>
      </c>
      <c r="AH59" s="12">
        <f>IF(AQ59="0",BJ59,0)</f>
        <v>0</v>
      </c>
      <c r="AI59" s="27" t="s">
        <v>7</v>
      </c>
      <c r="AJ59" s="26">
        <f>IF(AN59=0,L59,0)</f>
        <v>0</v>
      </c>
      <c r="AK59" s="26">
        <f>IF(AN59=15,L59,0)</f>
        <v>0</v>
      </c>
      <c r="AL59" s="26">
        <f>IF(AN59=21,L59,0)</f>
        <v>0</v>
      </c>
      <c r="AN59" s="12">
        <v>21</v>
      </c>
      <c r="AO59" s="12">
        <f>K59*0</f>
        <v>0</v>
      </c>
      <c r="AP59" s="12">
        <f>K59*(1-0)</f>
        <v>0</v>
      </c>
      <c r="AQ59" s="32" t="s">
        <v>85</v>
      </c>
      <c r="AV59" s="12">
        <f>AW59+AX59</f>
        <v>0</v>
      </c>
      <c r="AW59" s="12">
        <f>J59*AO59</f>
        <v>0</v>
      </c>
      <c r="AX59" s="12">
        <f>J59*AP59</f>
        <v>0</v>
      </c>
      <c r="AY59" s="78" t="s">
        <v>891</v>
      </c>
      <c r="AZ59" s="78" t="s">
        <v>913</v>
      </c>
      <c r="BA59" s="27" t="s">
        <v>928</v>
      </c>
      <c r="BC59" s="12">
        <f>AW59+AX59</f>
        <v>0</v>
      </c>
      <c r="BD59" s="12">
        <f>K59/(100-BE59)*100</f>
        <v>0</v>
      </c>
      <c r="BE59" s="12">
        <v>0</v>
      </c>
      <c r="BF59" s="12">
        <f>59</f>
        <v>59</v>
      </c>
      <c r="BH59" s="26">
        <f>J59*AO59</f>
        <v>0</v>
      </c>
      <c r="BI59" s="26">
        <f>J59*AP59</f>
        <v>0</v>
      </c>
      <c r="BJ59" s="26">
        <f>J59*K59</f>
        <v>0</v>
      </c>
    </row>
    <row r="60" spans="1:62" x14ac:dyDescent="0.2">
      <c r="A60" s="18" t="s">
        <v>106</v>
      </c>
      <c r="B60" s="18" t="s">
        <v>7</v>
      </c>
      <c r="C60" s="18" t="s">
        <v>312</v>
      </c>
      <c r="D60" s="111" t="s">
        <v>515</v>
      </c>
      <c r="E60" s="112"/>
      <c r="F60" s="112"/>
      <c r="G60" s="112"/>
      <c r="H60" s="112"/>
      <c r="I60" s="18" t="s">
        <v>785</v>
      </c>
      <c r="J60" s="26">
        <v>201.2</v>
      </c>
      <c r="K60" s="69">
        <v>0</v>
      </c>
      <c r="L60" s="26">
        <f>J60*K60</f>
        <v>0</v>
      </c>
      <c r="M60" s="32" t="s">
        <v>874</v>
      </c>
      <c r="Z60" s="12">
        <f>IF(AQ60="5",BJ60,0)</f>
        <v>0</v>
      </c>
      <c r="AB60" s="12">
        <f>IF(AQ60="1",BH60,0)</f>
        <v>0</v>
      </c>
      <c r="AC60" s="12">
        <f>IF(AQ60="1",BI60,0)</f>
        <v>0</v>
      </c>
      <c r="AD60" s="12">
        <f>IF(AQ60="7",BH60,0)</f>
        <v>0</v>
      </c>
      <c r="AE60" s="12">
        <f>IF(AQ60="7",BI60,0)</f>
        <v>0</v>
      </c>
      <c r="AF60" s="12">
        <f>IF(AQ60="2",BH60,0)</f>
        <v>0</v>
      </c>
      <c r="AG60" s="12">
        <f>IF(AQ60="2",BI60,0)</f>
        <v>0</v>
      </c>
      <c r="AH60" s="12">
        <f>IF(AQ60="0",BJ60,0)</f>
        <v>0</v>
      </c>
      <c r="AI60" s="27" t="s">
        <v>7</v>
      </c>
      <c r="AJ60" s="26">
        <f>IF(AN60=0,L60,0)</f>
        <v>0</v>
      </c>
      <c r="AK60" s="26">
        <f>IF(AN60=15,L60,0)</f>
        <v>0</v>
      </c>
      <c r="AL60" s="26">
        <f>IF(AN60=21,L60,0)</f>
        <v>0</v>
      </c>
      <c r="AN60" s="12">
        <v>21</v>
      </c>
      <c r="AO60" s="12">
        <f>K60*0</f>
        <v>0</v>
      </c>
      <c r="AP60" s="12">
        <f>K60*(1-0)</f>
        <v>0</v>
      </c>
      <c r="AQ60" s="32" t="s">
        <v>85</v>
      </c>
      <c r="AV60" s="12">
        <f>AW60+AX60</f>
        <v>0</v>
      </c>
      <c r="AW60" s="12">
        <f>J60*AO60</f>
        <v>0</v>
      </c>
      <c r="AX60" s="12">
        <f>J60*AP60</f>
        <v>0</v>
      </c>
      <c r="AY60" s="78" t="s">
        <v>891</v>
      </c>
      <c r="AZ60" s="78" t="s">
        <v>913</v>
      </c>
      <c r="BA60" s="27" t="s">
        <v>928</v>
      </c>
      <c r="BC60" s="12">
        <f>AW60+AX60</f>
        <v>0</v>
      </c>
      <c r="BD60" s="12">
        <f>K60/(100-BE60)*100</f>
        <v>0</v>
      </c>
      <c r="BE60" s="12">
        <v>0</v>
      </c>
      <c r="BF60" s="12">
        <f>60</f>
        <v>60</v>
      </c>
      <c r="BH60" s="26">
        <f>J60*AO60</f>
        <v>0</v>
      </c>
      <c r="BI60" s="26">
        <f>J60*AP60</f>
        <v>0</v>
      </c>
      <c r="BJ60" s="26">
        <f>J60*K60</f>
        <v>0</v>
      </c>
    </row>
    <row r="61" spans="1:62" ht="25.7" customHeight="1" x14ac:dyDescent="0.2">
      <c r="C61" s="62" t="s">
        <v>296</v>
      </c>
      <c r="D61" s="113" t="s">
        <v>516</v>
      </c>
      <c r="E61" s="114"/>
      <c r="F61" s="114"/>
      <c r="G61" s="114"/>
      <c r="H61" s="114"/>
      <c r="I61" s="114"/>
      <c r="J61" s="114"/>
      <c r="K61" s="154"/>
      <c r="L61" s="114"/>
      <c r="M61" s="114"/>
    </row>
    <row r="62" spans="1:62" x14ac:dyDescent="0.2">
      <c r="A62" s="20" t="s">
        <v>107</v>
      </c>
      <c r="B62" s="20" t="s">
        <v>7</v>
      </c>
      <c r="C62" s="20" t="s">
        <v>842</v>
      </c>
      <c r="D62" s="121" t="s">
        <v>850</v>
      </c>
      <c r="E62" s="122"/>
      <c r="F62" s="122"/>
      <c r="G62" s="122"/>
      <c r="H62" s="122"/>
      <c r="I62" s="20" t="s">
        <v>786</v>
      </c>
      <c r="J62" s="29">
        <v>5.12</v>
      </c>
      <c r="K62" s="70">
        <v>0</v>
      </c>
      <c r="L62" s="29">
        <f>J62*K62</f>
        <v>0</v>
      </c>
      <c r="M62" s="33" t="s">
        <v>874</v>
      </c>
      <c r="Z62" s="12">
        <f>IF(AQ62="5",BJ62,0)</f>
        <v>0</v>
      </c>
      <c r="AB62" s="12">
        <f>IF(AQ62="1",BH62,0)</f>
        <v>0</v>
      </c>
      <c r="AC62" s="12">
        <f>IF(AQ62="1",BI62,0)</f>
        <v>0</v>
      </c>
      <c r="AD62" s="12">
        <f>IF(AQ62="7",BH62,0)</f>
        <v>0</v>
      </c>
      <c r="AE62" s="12">
        <f>IF(AQ62="7",BI62,0)</f>
        <v>0</v>
      </c>
      <c r="AF62" s="12">
        <f>IF(AQ62="2",BH62,0)</f>
        <v>0</v>
      </c>
      <c r="AG62" s="12">
        <f>IF(AQ62="2",BI62,0)</f>
        <v>0</v>
      </c>
      <c r="AH62" s="12">
        <f>IF(AQ62="0",BJ62,0)</f>
        <v>0</v>
      </c>
      <c r="AI62" s="27" t="s">
        <v>7</v>
      </c>
      <c r="AJ62" s="29">
        <f>IF(AN62=0,L62,0)</f>
        <v>0</v>
      </c>
      <c r="AK62" s="29">
        <f>IF(AN62=15,L62,0)</f>
        <v>0</v>
      </c>
      <c r="AL62" s="29">
        <f>IF(AN62=21,L62,0)</f>
        <v>0</v>
      </c>
      <c r="AN62" s="12">
        <v>21</v>
      </c>
      <c r="AO62" s="12">
        <f>K62*1</f>
        <v>0</v>
      </c>
      <c r="AP62" s="12">
        <f>K62*(1-1)</f>
        <v>0</v>
      </c>
      <c r="AQ62" s="33" t="s">
        <v>85</v>
      </c>
      <c r="AV62" s="12">
        <f>AW62+AX62</f>
        <v>0</v>
      </c>
      <c r="AW62" s="12">
        <f>J62*AO62</f>
        <v>0</v>
      </c>
      <c r="AX62" s="12">
        <f>J62*AP62</f>
        <v>0</v>
      </c>
      <c r="AY62" s="78" t="s">
        <v>891</v>
      </c>
      <c r="AZ62" s="78" t="s">
        <v>913</v>
      </c>
      <c r="BA62" s="27" t="s">
        <v>928</v>
      </c>
      <c r="BC62" s="12">
        <f>AW62+AX62</f>
        <v>0</v>
      </c>
      <c r="BD62" s="12">
        <f>K62/(100-BE62)*100</f>
        <v>0</v>
      </c>
      <c r="BE62" s="12">
        <v>0</v>
      </c>
      <c r="BF62" s="12">
        <f>62</f>
        <v>62</v>
      </c>
      <c r="BH62" s="29">
        <f>J62*AO62</f>
        <v>0</v>
      </c>
      <c r="BI62" s="29">
        <f>J62*AP62</f>
        <v>0</v>
      </c>
      <c r="BJ62" s="29">
        <f>J62*K62</f>
        <v>0</v>
      </c>
    </row>
    <row r="63" spans="1:62" x14ac:dyDescent="0.2">
      <c r="A63" s="20" t="s">
        <v>108</v>
      </c>
      <c r="B63" s="20" t="s">
        <v>7</v>
      </c>
      <c r="C63" s="20" t="s">
        <v>313</v>
      </c>
      <c r="D63" s="121" t="s">
        <v>517</v>
      </c>
      <c r="E63" s="122"/>
      <c r="F63" s="122"/>
      <c r="G63" s="122"/>
      <c r="H63" s="122"/>
      <c r="I63" s="20" t="s">
        <v>786</v>
      </c>
      <c r="J63" s="29">
        <v>216.096</v>
      </c>
      <c r="K63" s="70">
        <v>0</v>
      </c>
      <c r="L63" s="29">
        <f>J63*K63</f>
        <v>0</v>
      </c>
      <c r="M63" s="33" t="s">
        <v>874</v>
      </c>
      <c r="Z63" s="12">
        <f>IF(AQ63="5",BJ63,0)</f>
        <v>0</v>
      </c>
      <c r="AB63" s="12">
        <f>IF(AQ63="1",BH63,0)</f>
        <v>0</v>
      </c>
      <c r="AC63" s="12">
        <f>IF(AQ63="1",BI63,0)</f>
        <v>0</v>
      </c>
      <c r="AD63" s="12">
        <f>IF(AQ63="7",BH63,0)</f>
        <v>0</v>
      </c>
      <c r="AE63" s="12">
        <f>IF(AQ63="7",BI63,0)</f>
        <v>0</v>
      </c>
      <c r="AF63" s="12">
        <f>IF(AQ63="2",BH63,0)</f>
        <v>0</v>
      </c>
      <c r="AG63" s="12">
        <f>IF(AQ63="2",BI63,0)</f>
        <v>0</v>
      </c>
      <c r="AH63" s="12">
        <f>IF(AQ63="0",BJ63,0)</f>
        <v>0</v>
      </c>
      <c r="AI63" s="27" t="s">
        <v>7</v>
      </c>
      <c r="AJ63" s="29">
        <f>IF(AN63=0,L63,0)</f>
        <v>0</v>
      </c>
      <c r="AK63" s="29">
        <f>IF(AN63=15,L63,0)</f>
        <v>0</v>
      </c>
      <c r="AL63" s="29">
        <f>IF(AN63=21,L63,0)</f>
        <v>0</v>
      </c>
      <c r="AN63" s="12">
        <v>21</v>
      </c>
      <c r="AO63" s="12">
        <f>K63*1</f>
        <v>0</v>
      </c>
      <c r="AP63" s="12">
        <f>K63*(1-1)</f>
        <v>0</v>
      </c>
      <c r="AQ63" s="33" t="s">
        <v>85</v>
      </c>
      <c r="AV63" s="12">
        <f>AW63+AX63</f>
        <v>0</v>
      </c>
      <c r="AW63" s="12">
        <f>J63*AO63</f>
        <v>0</v>
      </c>
      <c r="AX63" s="12">
        <f>J63*AP63</f>
        <v>0</v>
      </c>
      <c r="AY63" s="78" t="s">
        <v>891</v>
      </c>
      <c r="AZ63" s="78" t="s">
        <v>913</v>
      </c>
      <c r="BA63" s="27" t="s">
        <v>928</v>
      </c>
      <c r="BC63" s="12">
        <f>AW63+AX63</f>
        <v>0</v>
      </c>
      <c r="BD63" s="12">
        <f>K63/(100-BE63)*100</f>
        <v>0</v>
      </c>
      <c r="BE63" s="12">
        <v>0</v>
      </c>
      <c r="BF63" s="12">
        <f>63</f>
        <v>63</v>
      </c>
      <c r="BH63" s="29">
        <f>J63*AO63</f>
        <v>0</v>
      </c>
      <c r="BI63" s="29">
        <f>J63*AP63</f>
        <v>0</v>
      </c>
      <c r="BJ63" s="29">
        <f>J63*K63</f>
        <v>0</v>
      </c>
    </row>
    <row r="64" spans="1:62" x14ac:dyDescent="0.2">
      <c r="A64" s="54"/>
      <c r="B64" s="19" t="s">
        <v>7</v>
      </c>
      <c r="C64" s="19" t="s">
        <v>18</v>
      </c>
      <c r="D64" s="117" t="s">
        <v>47</v>
      </c>
      <c r="E64" s="118"/>
      <c r="F64" s="118"/>
      <c r="G64" s="118"/>
      <c r="H64" s="118"/>
      <c r="I64" s="54" t="s">
        <v>5</v>
      </c>
      <c r="J64" s="54" t="s">
        <v>5</v>
      </c>
      <c r="K64" s="68" t="s">
        <v>5</v>
      </c>
      <c r="L64" s="80">
        <f>SUM(L65:L65)</f>
        <v>0</v>
      </c>
      <c r="M64" s="27"/>
      <c r="AI64" s="27" t="s">
        <v>7</v>
      </c>
      <c r="AS64" s="80">
        <f>SUM(AJ65:AJ65)</f>
        <v>0</v>
      </c>
      <c r="AT64" s="80">
        <f>SUM(AK65:AK65)</f>
        <v>0</v>
      </c>
      <c r="AU64" s="80">
        <f>SUM(AL65:AL65)</f>
        <v>0</v>
      </c>
    </row>
    <row r="65" spans="1:62" x14ac:dyDescent="0.2">
      <c r="A65" s="18" t="s">
        <v>109</v>
      </c>
      <c r="B65" s="18" t="s">
        <v>7</v>
      </c>
      <c r="C65" s="18" t="s">
        <v>315</v>
      </c>
      <c r="D65" s="111" t="s">
        <v>524</v>
      </c>
      <c r="E65" s="112"/>
      <c r="F65" s="112"/>
      <c r="G65" s="112"/>
      <c r="H65" s="112"/>
      <c r="I65" s="18" t="s">
        <v>783</v>
      </c>
      <c r="J65" s="26">
        <v>55.5</v>
      </c>
      <c r="K65" s="69">
        <v>0</v>
      </c>
      <c r="L65" s="26">
        <f>J65*K65</f>
        <v>0</v>
      </c>
      <c r="M65" s="32" t="s">
        <v>874</v>
      </c>
      <c r="Z65" s="12">
        <f>IF(AQ65="5",BJ65,0)</f>
        <v>0</v>
      </c>
      <c r="AB65" s="12">
        <f>IF(AQ65="1",BH65,0)</f>
        <v>0</v>
      </c>
      <c r="AC65" s="12">
        <f>IF(AQ65="1",BI65,0)</f>
        <v>0</v>
      </c>
      <c r="AD65" s="12">
        <f>IF(AQ65="7",BH65,0)</f>
        <v>0</v>
      </c>
      <c r="AE65" s="12">
        <f>IF(AQ65="7",BI65,0)</f>
        <v>0</v>
      </c>
      <c r="AF65" s="12">
        <f>IF(AQ65="2",BH65,0)</f>
        <v>0</v>
      </c>
      <c r="AG65" s="12">
        <f>IF(AQ65="2",BI65,0)</f>
        <v>0</v>
      </c>
      <c r="AH65" s="12">
        <f>IF(AQ65="0",BJ65,0)</f>
        <v>0</v>
      </c>
      <c r="AI65" s="27" t="s">
        <v>7</v>
      </c>
      <c r="AJ65" s="26">
        <f>IF(AN65=0,L65,0)</f>
        <v>0</v>
      </c>
      <c r="AK65" s="26">
        <f>IF(AN65=15,L65,0)</f>
        <v>0</v>
      </c>
      <c r="AL65" s="26">
        <f>IF(AN65=21,L65,0)</f>
        <v>0</v>
      </c>
      <c r="AN65" s="12">
        <v>21</v>
      </c>
      <c r="AO65" s="12">
        <f>K65*0</f>
        <v>0</v>
      </c>
      <c r="AP65" s="12">
        <f>K65*(1-0)</f>
        <v>0</v>
      </c>
      <c r="AQ65" s="32" t="s">
        <v>91</v>
      </c>
      <c r="AV65" s="12">
        <f>AW65+AX65</f>
        <v>0</v>
      </c>
      <c r="AW65" s="12">
        <f>J65*AO65</f>
        <v>0</v>
      </c>
      <c r="AX65" s="12">
        <f>J65*AP65</f>
        <v>0</v>
      </c>
      <c r="AY65" s="78" t="s">
        <v>892</v>
      </c>
      <c r="AZ65" s="78" t="s">
        <v>914</v>
      </c>
      <c r="BA65" s="27" t="s">
        <v>928</v>
      </c>
      <c r="BC65" s="12">
        <f>AW65+AX65</f>
        <v>0</v>
      </c>
      <c r="BD65" s="12">
        <f>K65/(100-BE65)*100</f>
        <v>0</v>
      </c>
      <c r="BE65" s="12">
        <v>0</v>
      </c>
      <c r="BF65" s="12">
        <f>65</f>
        <v>65</v>
      </c>
      <c r="BH65" s="26">
        <f>J65*AO65</f>
        <v>0</v>
      </c>
      <c r="BI65" s="26">
        <f>J65*AP65</f>
        <v>0</v>
      </c>
      <c r="BJ65" s="26">
        <f>J65*K65</f>
        <v>0</v>
      </c>
    </row>
    <row r="66" spans="1:62" x14ac:dyDescent="0.2">
      <c r="C66" s="62" t="s">
        <v>296</v>
      </c>
      <c r="D66" s="113" t="s">
        <v>526</v>
      </c>
      <c r="E66" s="114"/>
      <c r="F66" s="114"/>
      <c r="G66" s="114"/>
      <c r="H66" s="114"/>
      <c r="I66" s="114"/>
      <c r="J66" s="114"/>
      <c r="K66" s="154"/>
      <c r="L66" s="114"/>
      <c r="M66" s="114"/>
    </row>
    <row r="67" spans="1:62" x14ac:dyDescent="0.2">
      <c r="A67" s="54"/>
      <c r="B67" s="19" t="s">
        <v>7</v>
      </c>
      <c r="C67" s="19" t="s">
        <v>19</v>
      </c>
      <c r="D67" s="117" t="s">
        <v>48</v>
      </c>
      <c r="E67" s="118"/>
      <c r="F67" s="118"/>
      <c r="G67" s="118"/>
      <c r="H67" s="118"/>
      <c r="I67" s="54" t="s">
        <v>5</v>
      </c>
      <c r="J67" s="54" t="s">
        <v>5</v>
      </c>
      <c r="K67" s="68" t="s">
        <v>5</v>
      </c>
      <c r="L67" s="80">
        <f>SUM(L68:L135)</f>
        <v>0</v>
      </c>
      <c r="M67" s="27"/>
      <c r="AI67" s="27" t="s">
        <v>7</v>
      </c>
      <c r="AS67" s="80">
        <f>SUM(AJ68:AJ135)</f>
        <v>0</v>
      </c>
      <c r="AT67" s="80">
        <f>SUM(AK68:AK135)</f>
        <v>0</v>
      </c>
      <c r="AU67" s="80">
        <f>SUM(AL68:AL135)</f>
        <v>0</v>
      </c>
    </row>
    <row r="68" spans="1:62" x14ac:dyDescent="0.2">
      <c r="A68" s="18" t="s">
        <v>110</v>
      </c>
      <c r="B68" s="18" t="s">
        <v>7</v>
      </c>
      <c r="C68" s="18" t="s">
        <v>316</v>
      </c>
      <c r="D68" s="111" t="s">
        <v>527</v>
      </c>
      <c r="E68" s="112"/>
      <c r="F68" s="112"/>
      <c r="G68" s="112"/>
      <c r="H68" s="112"/>
      <c r="I68" s="18" t="s">
        <v>783</v>
      </c>
      <c r="J68" s="26">
        <v>2155</v>
      </c>
      <c r="K68" s="69">
        <v>0</v>
      </c>
      <c r="L68" s="26">
        <f>J68*K68</f>
        <v>0</v>
      </c>
      <c r="M68" s="32" t="s">
        <v>874</v>
      </c>
      <c r="Z68" s="12">
        <f>IF(AQ68="5",BJ68,0)</f>
        <v>0</v>
      </c>
      <c r="AB68" s="12">
        <f>IF(AQ68="1",BH68,0)</f>
        <v>0</v>
      </c>
      <c r="AC68" s="12">
        <f>IF(AQ68="1",BI68,0)</f>
        <v>0</v>
      </c>
      <c r="AD68" s="12">
        <f>IF(AQ68="7",BH68,0)</f>
        <v>0</v>
      </c>
      <c r="AE68" s="12">
        <f>IF(AQ68="7",BI68,0)</f>
        <v>0</v>
      </c>
      <c r="AF68" s="12">
        <f>IF(AQ68="2",BH68,0)</f>
        <v>0</v>
      </c>
      <c r="AG68" s="12">
        <f>IF(AQ68="2",BI68,0)</f>
        <v>0</v>
      </c>
      <c r="AH68" s="12">
        <f>IF(AQ68="0",BJ68,0)</f>
        <v>0</v>
      </c>
      <c r="AI68" s="27" t="s">
        <v>7</v>
      </c>
      <c r="AJ68" s="26">
        <f>IF(AN68=0,L68,0)</f>
        <v>0</v>
      </c>
      <c r="AK68" s="26">
        <f>IF(AN68=15,L68,0)</f>
        <v>0</v>
      </c>
      <c r="AL68" s="26">
        <f>IF(AN68=21,L68,0)</f>
        <v>0</v>
      </c>
      <c r="AN68" s="12">
        <v>21</v>
      </c>
      <c r="AO68" s="12">
        <f>K68*0.0706896551724138</f>
        <v>0</v>
      </c>
      <c r="AP68" s="12">
        <f>K68*(1-0.0706896551724138)</f>
        <v>0</v>
      </c>
      <c r="AQ68" s="32" t="s">
        <v>85</v>
      </c>
      <c r="AV68" s="12">
        <f>AW68+AX68</f>
        <v>0</v>
      </c>
      <c r="AW68" s="12">
        <f>J68*AO68</f>
        <v>0</v>
      </c>
      <c r="AX68" s="12">
        <f>J68*AP68</f>
        <v>0</v>
      </c>
      <c r="AY68" s="78" t="s">
        <v>893</v>
      </c>
      <c r="AZ68" s="78" t="s">
        <v>913</v>
      </c>
      <c r="BA68" s="27" t="s">
        <v>928</v>
      </c>
      <c r="BC68" s="12">
        <f>AW68+AX68</f>
        <v>0</v>
      </c>
      <c r="BD68" s="12">
        <f>K68/(100-BE68)*100</f>
        <v>0</v>
      </c>
      <c r="BE68" s="12">
        <v>0</v>
      </c>
      <c r="BF68" s="12">
        <f>68</f>
        <v>68</v>
      </c>
      <c r="BH68" s="26">
        <f>J68*AO68</f>
        <v>0</v>
      </c>
      <c r="BI68" s="26">
        <f>J68*AP68</f>
        <v>0</v>
      </c>
      <c r="BJ68" s="26">
        <f>J68*K68</f>
        <v>0</v>
      </c>
    </row>
    <row r="69" spans="1:62" x14ac:dyDescent="0.2">
      <c r="C69" s="62" t="s">
        <v>296</v>
      </c>
      <c r="D69" s="113" t="s">
        <v>530</v>
      </c>
      <c r="E69" s="114"/>
      <c r="F69" s="114"/>
      <c r="G69" s="114"/>
      <c r="H69" s="114"/>
      <c r="I69" s="114"/>
      <c r="J69" s="114"/>
      <c r="K69" s="154"/>
      <c r="L69" s="114"/>
      <c r="M69" s="114"/>
    </row>
    <row r="70" spans="1:62" x14ac:dyDescent="0.2">
      <c r="A70" s="18" t="s">
        <v>21</v>
      </c>
      <c r="B70" s="18" t="s">
        <v>7</v>
      </c>
      <c r="C70" s="18" t="s">
        <v>317</v>
      </c>
      <c r="D70" s="111" t="s">
        <v>531</v>
      </c>
      <c r="E70" s="112"/>
      <c r="F70" s="112"/>
      <c r="G70" s="112"/>
      <c r="H70" s="112"/>
      <c r="I70" s="18" t="s">
        <v>783</v>
      </c>
      <c r="J70" s="26">
        <v>2914</v>
      </c>
      <c r="K70" s="69">
        <v>0</v>
      </c>
      <c r="L70" s="26">
        <f>J70*K70</f>
        <v>0</v>
      </c>
      <c r="M70" s="32" t="s">
        <v>874</v>
      </c>
      <c r="Z70" s="12">
        <f>IF(AQ70="5",BJ70,0)</f>
        <v>0</v>
      </c>
      <c r="AB70" s="12">
        <f>IF(AQ70="1",BH70,0)</f>
        <v>0</v>
      </c>
      <c r="AC70" s="12">
        <f>IF(AQ70="1",BI70,0)</f>
        <v>0</v>
      </c>
      <c r="AD70" s="12">
        <f>IF(AQ70="7",BH70,0)</f>
        <v>0</v>
      </c>
      <c r="AE70" s="12">
        <f>IF(AQ70="7",BI70,0)</f>
        <v>0</v>
      </c>
      <c r="AF70" s="12">
        <f>IF(AQ70="2",BH70,0)</f>
        <v>0</v>
      </c>
      <c r="AG70" s="12">
        <f>IF(AQ70="2",BI70,0)</f>
        <v>0</v>
      </c>
      <c r="AH70" s="12">
        <f>IF(AQ70="0",BJ70,0)</f>
        <v>0</v>
      </c>
      <c r="AI70" s="27" t="s">
        <v>7</v>
      </c>
      <c r="AJ70" s="26">
        <f>IF(AN70=0,L70,0)</f>
        <v>0</v>
      </c>
      <c r="AK70" s="26">
        <f>IF(AN70=15,L70,0)</f>
        <v>0</v>
      </c>
      <c r="AL70" s="26">
        <f>IF(AN70=21,L70,0)</f>
        <v>0</v>
      </c>
      <c r="AN70" s="12">
        <v>21</v>
      </c>
      <c r="AO70" s="12">
        <f>K70*0.00665188470066519</f>
        <v>0</v>
      </c>
      <c r="AP70" s="12">
        <f>K70*(1-0.00665188470066519)</f>
        <v>0</v>
      </c>
      <c r="AQ70" s="32" t="s">
        <v>85</v>
      </c>
      <c r="AV70" s="12">
        <f>AW70+AX70</f>
        <v>0</v>
      </c>
      <c r="AW70" s="12">
        <f>J70*AO70</f>
        <v>0</v>
      </c>
      <c r="AX70" s="12">
        <f>J70*AP70</f>
        <v>0</v>
      </c>
      <c r="AY70" s="78" t="s">
        <v>893</v>
      </c>
      <c r="AZ70" s="78" t="s">
        <v>913</v>
      </c>
      <c r="BA70" s="27" t="s">
        <v>928</v>
      </c>
      <c r="BC70" s="12">
        <f>AW70+AX70</f>
        <v>0</v>
      </c>
      <c r="BD70" s="12">
        <f>K70/(100-BE70)*100</f>
        <v>0</v>
      </c>
      <c r="BE70" s="12">
        <v>0</v>
      </c>
      <c r="BF70" s="12">
        <f>70</f>
        <v>70</v>
      </c>
      <c r="BH70" s="26">
        <f>J70*AO70</f>
        <v>0</v>
      </c>
      <c r="BI70" s="26">
        <f>J70*AP70</f>
        <v>0</v>
      </c>
      <c r="BJ70" s="26">
        <f>J70*K70</f>
        <v>0</v>
      </c>
    </row>
    <row r="71" spans="1:62" x14ac:dyDescent="0.2">
      <c r="A71" s="18" t="s">
        <v>111</v>
      </c>
      <c r="B71" s="18" t="s">
        <v>7</v>
      </c>
      <c r="C71" s="18" t="s">
        <v>318</v>
      </c>
      <c r="D71" s="111" t="s">
        <v>537</v>
      </c>
      <c r="E71" s="112"/>
      <c r="F71" s="112"/>
      <c r="G71" s="112"/>
      <c r="H71" s="112"/>
      <c r="I71" s="18" t="s">
        <v>783</v>
      </c>
      <c r="J71" s="26">
        <v>2914</v>
      </c>
      <c r="K71" s="69">
        <v>0</v>
      </c>
      <c r="L71" s="26">
        <f>J71*K71</f>
        <v>0</v>
      </c>
      <c r="M71" s="32" t="s">
        <v>874</v>
      </c>
      <c r="Z71" s="12">
        <f>IF(AQ71="5",BJ71,0)</f>
        <v>0</v>
      </c>
      <c r="AB71" s="12">
        <f>IF(AQ71="1",BH71,0)</f>
        <v>0</v>
      </c>
      <c r="AC71" s="12">
        <f>IF(AQ71="1",BI71,0)</f>
        <v>0</v>
      </c>
      <c r="AD71" s="12">
        <f>IF(AQ71="7",BH71,0)</f>
        <v>0</v>
      </c>
      <c r="AE71" s="12">
        <f>IF(AQ71="7",BI71,0)</f>
        <v>0</v>
      </c>
      <c r="AF71" s="12">
        <f>IF(AQ71="2",BH71,0)</f>
        <v>0</v>
      </c>
      <c r="AG71" s="12">
        <f>IF(AQ71="2",BI71,0)</f>
        <v>0</v>
      </c>
      <c r="AH71" s="12">
        <f>IF(AQ71="0",BJ71,0)</f>
        <v>0</v>
      </c>
      <c r="AI71" s="27" t="s">
        <v>7</v>
      </c>
      <c r="AJ71" s="26">
        <f>IF(AN71=0,L71,0)</f>
        <v>0</v>
      </c>
      <c r="AK71" s="26">
        <f>IF(AN71=15,L71,0)</f>
        <v>0</v>
      </c>
      <c r="AL71" s="26">
        <f>IF(AN71=21,L71,0)</f>
        <v>0</v>
      </c>
      <c r="AN71" s="12">
        <v>21</v>
      </c>
      <c r="AO71" s="12">
        <f>K71*0</f>
        <v>0</v>
      </c>
      <c r="AP71" s="12">
        <f>K71*(1-0)</f>
        <v>0</v>
      </c>
      <c r="AQ71" s="32" t="s">
        <v>85</v>
      </c>
      <c r="AV71" s="12">
        <f>AW71+AX71</f>
        <v>0</v>
      </c>
      <c r="AW71" s="12">
        <f>J71*AO71</f>
        <v>0</v>
      </c>
      <c r="AX71" s="12">
        <f>J71*AP71</f>
        <v>0</v>
      </c>
      <c r="AY71" s="78" t="s">
        <v>893</v>
      </c>
      <c r="AZ71" s="78" t="s">
        <v>913</v>
      </c>
      <c r="BA71" s="27" t="s">
        <v>928</v>
      </c>
      <c r="BC71" s="12">
        <f>AW71+AX71</f>
        <v>0</v>
      </c>
      <c r="BD71" s="12">
        <f>K71/(100-BE71)*100</f>
        <v>0</v>
      </c>
      <c r="BE71" s="12">
        <v>0</v>
      </c>
      <c r="BF71" s="12">
        <f>71</f>
        <v>71</v>
      </c>
      <c r="BH71" s="26">
        <f>J71*AO71</f>
        <v>0</v>
      </c>
      <c r="BI71" s="26">
        <f>J71*AP71</f>
        <v>0</v>
      </c>
      <c r="BJ71" s="26">
        <f>J71*K71</f>
        <v>0</v>
      </c>
    </row>
    <row r="72" spans="1:62" x14ac:dyDescent="0.2">
      <c r="A72" s="20" t="s">
        <v>112</v>
      </c>
      <c r="B72" s="20" t="s">
        <v>7</v>
      </c>
      <c r="C72" s="20" t="s">
        <v>319</v>
      </c>
      <c r="D72" s="121" t="s">
        <v>538</v>
      </c>
      <c r="E72" s="122"/>
      <c r="F72" s="122"/>
      <c r="G72" s="122"/>
      <c r="H72" s="122"/>
      <c r="I72" s="20" t="s">
        <v>787</v>
      </c>
      <c r="J72" s="29">
        <v>64.650000000000006</v>
      </c>
      <c r="K72" s="70">
        <v>0</v>
      </c>
      <c r="L72" s="29">
        <f>J72*K72</f>
        <v>0</v>
      </c>
      <c r="M72" s="33" t="s">
        <v>874</v>
      </c>
      <c r="Z72" s="12">
        <f>IF(AQ72="5",BJ72,0)</f>
        <v>0</v>
      </c>
      <c r="AB72" s="12">
        <f>IF(AQ72="1",BH72,0)</f>
        <v>0</v>
      </c>
      <c r="AC72" s="12">
        <f>IF(AQ72="1",BI72,0)</f>
        <v>0</v>
      </c>
      <c r="AD72" s="12">
        <f>IF(AQ72="7",BH72,0)</f>
        <v>0</v>
      </c>
      <c r="AE72" s="12">
        <f>IF(AQ72="7",BI72,0)</f>
        <v>0</v>
      </c>
      <c r="AF72" s="12">
        <f>IF(AQ72="2",BH72,0)</f>
        <v>0</v>
      </c>
      <c r="AG72" s="12">
        <f>IF(AQ72="2",BI72,0)</f>
        <v>0</v>
      </c>
      <c r="AH72" s="12">
        <f>IF(AQ72="0",BJ72,0)</f>
        <v>0</v>
      </c>
      <c r="AI72" s="27" t="s">
        <v>7</v>
      </c>
      <c r="AJ72" s="29">
        <f>IF(AN72=0,L72,0)</f>
        <v>0</v>
      </c>
      <c r="AK72" s="29">
        <f>IF(AN72=15,L72,0)</f>
        <v>0</v>
      </c>
      <c r="AL72" s="29">
        <f>IF(AN72=21,L72,0)</f>
        <v>0</v>
      </c>
      <c r="AN72" s="12">
        <v>21</v>
      </c>
      <c r="AO72" s="12">
        <f>K72*1</f>
        <v>0</v>
      </c>
      <c r="AP72" s="12">
        <f>K72*(1-1)</f>
        <v>0</v>
      </c>
      <c r="AQ72" s="33" t="s">
        <v>85</v>
      </c>
      <c r="AV72" s="12">
        <f>AW72+AX72</f>
        <v>0</v>
      </c>
      <c r="AW72" s="12">
        <f>J72*AO72</f>
        <v>0</v>
      </c>
      <c r="AX72" s="12">
        <f>J72*AP72</f>
        <v>0</v>
      </c>
      <c r="AY72" s="78" t="s">
        <v>893</v>
      </c>
      <c r="AZ72" s="78" t="s">
        <v>913</v>
      </c>
      <c r="BA72" s="27" t="s">
        <v>928</v>
      </c>
      <c r="BC72" s="12">
        <f>AW72+AX72</f>
        <v>0</v>
      </c>
      <c r="BD72" s="12">
        <f>K72/(100-BE72)*100</f>
        <v>0</v>
      </c>
      <c r="BE72" s="12">
        <v>0</v>
      </c>
      <c r="BF72" s="12">
        <f>72</f>
        <v>72</v>
      </c>
      <c r="BH72" s="29">
        <f>J72*AO72</f>
        <v>0</v>
      </c>
      <c r="BI72" s="29">
        <f>J72*AP72</f>
        <v>0</v>
      </c>
      <c r="BJ72" s="29">
        <f>J72*K72</f>
        <v>0</v>
      </c>
    </row>
    <row r="73" spans="1:62" x14ac:dyDescent="0.2">
      <c r="C73" s="62" t="s">
        <v>296</v>
      </c>
      <c r="D73" s="113" t="s">
        <v>541</v>
      </c>
      <c r="E73" s="114"/>
      <c r="F73" s="114"/>
      <c r="G73" s="114"/>
      <c r="H73" s="114"/>
      <c r="I73" s="114"/>
      <c r="J73" s="114"/>
      <c r="K73" s="154"/>
      <c r="L73" s="114"/>
      <c r="M73" s="114"/>
    </row>
    <row r="74" spans="1:62" x14ac:dyDescent="0.2">
      <c r="A74" s="20" t="s">
        <v>113</v>
      </c>
      <c r="B74" s="20" t="s">
        <v>7</v>
      </c>
      <c r="C74" s="20" t="s">
        <v>320</v>
      </c>
      <c r="D74" s="121" t="s">
        <v>542</v>
      </c>
      <c r="E74" s="122"/>
      <c r="F74" s="122"/>
      <c r="G74" s="122"/>
      <c r="H74" s="122"/>
      <c r="I74" s="20" t="s">
        <v>788</v>
      </c>
      <c r="J74" s="29">
        <v>29.14</v>
      </c>
      <c r="K74" s="70">
        <v>0</v>
      </c>
      <c r="L74" s="29">
        <f>J74*K74</f>
        <v>0</v>
      </c>
      <c r="M74" s="33" t="s">
        <v>874</v>
      </c>
      <c r="Z74" s="12">
        <f>IF(AQ74="5",BJ74,0)</f>
        <v>0</v>
      </c>
      <c r="AB74" s="12">
        <f>IF(AQ74="1",BH74,0)</f>
        <v>0</v>
      </c>
      <c r="AC74" s="12">
        <f>IF(AQ74="1",BI74,0)</f>
        <v>0</v>
      </c>
      <c r="AD74" s="12">
        <f>IF(AQ74="7",BH74,0)</f>
        <v>0</v>
      </c>
      <c r="AE74" s="12">
        <f>IF(AQ74="7",BI74,0)</f>
        <v>0</v>
      </c>
      <c r="AF74" s="12">
        <f>IF(AQ74="2",BH74,0)</f>
        <v>0</v>
      </c>
      <c r="AG74" s="12">
        <f>IF(AQ74="2",BI74,0)</f>
        <v>0</v>
      </c>
      <c r="AH74" s="12">
        <f>IF(AQ74="0",BJ74,0)</f>
        <v>0</v>
      </c>
      <c r="AI74" s="27" t="s">
        <v>7</v>
      </c>
      <c r="AJ74" s="29">
        <f>IF(AN74=0,L74,0)</f>
        <v>0</v>
      </c>
      <c r="AK74" s="29">
        <f>IF(AN74=15,L74,0)</f>
        <v>0</v>
      </c>
      <c r="AL74" s="29">
        <f>IF(AN74=21,L74,0)</f>
        <v>0</v>
      </c>
      <c r="AN74" s="12">
        <v>21</v>
      </c>
      <c r="AO74" s="12">
        <f>K74*1</f>
        <v>0</v>
      </c>
      <c r="AP74" s="12">
        <f>K74*(1-1)</f>
        <v>0</v>
      </c>
      <c r="AQ74" s="33" t="s">
        <v>85</v>
      </c>
      <c r="AV74" s="12">
        <f>AW74+AX74</f>
        <v>0</v>
      </c>
      <c r="AW74" s="12">
        <f>J74*AO74</f>
        <v>0</v>
      </c>
      <c r="AX74" s="12">
        <f>J74*AP74</f>
        <v>0</v>
      </c>
      <c r="AY74" s="78" t="s">
        <v>893</v>
      </c>
      <c r="AZ74" s="78" t="s">
        <v>913</v>
      </c>
      <c r="BA74" s="27" t="s">
        <v>928</v>
      </c>
      <c r="BC74" s="12">
        <f>AW74+AX74</f>
        <v>0</v>
      </c>
      <c r="BD74" s="12">
        <f>K74/(100-BE74)*100</f>
        <v>0</v>
      </c>
      <c r="BE74" s="12">
        <v>0</v>
      </c>
      <c r="BF74" s="12">
        <f>74</f>
        <v>74</v>
      </c>
      <c r="BH74" s="29">
        <f>J74*AO74</f>
        <v>0</v>
      </c>
      <c r="BI74" s="29">
        <f>J74*AP74</f>
        <v>0</v>
      </c>
      <c r="BJ74" s="29">
        <f>J74*K74</f>
        <v>0</v>
      </c>
    </row>
    <row r="75" spans="1:62" x14ac:dyDescent="0.2">
      <c r="A75" s="18" t="s">
        <v>114</v>
      </c>
      <c r="B75" s="18" t="s">
        <v>7</v>
      </c>
      <c r="C75" s="18" t="s">
        <v>321</v>
      </c>
      <c r="D75" s="111" t="s">
        <v>550</v>
      </c>
      <c r="E75" s="112"/>
      <c r="F75" s="112"/>
      <c r="G75" s="112"/>
      <c r="H75" s="112"/>
      <c r="I75" s="18" t="s">
        <v>783</v>
      </c>
      <c r="J75" s="26">
        <v>430</v>
      </c>
      <c r="K75" s="69">
        <v>0</v>
      </c>
      <c r="L75" s="26">
        <f>J75*K75</f>
        <v>0</v>
      </c>
      <c r="M75" s="32" t="s">
        <v>874</v>
      </c>
      <c r="Z75" s="12">
        <f>IF(AQ75="5",BJ75,0)</f>
        <v>0</v>
      </c>
      <c r="AB75" s="12">
        <f>IF(AQ75="1",BH75,0)</f>
        <v>0</v>
      </c>
      <c r="AC75" s="12">
        <f>IF(AQ75="1",BI75,0)</f>
        <v>0</v>
      </c>
      <c r="AD75" s="12">
        <f>IF(AQ75="7",BH75,0)</f>
        <v>0</v>
      </c>
      <c r="AE75" s="12">
        <f>IF(AQ75="7",BI75,0)</f>
        <v>0</v>
      </c>
      <c r="AF75" s="12">
        <f>IF(AQ75="2",BH75,0)</f>
        <v>0</v>
      </c>
      <c r="AG75" s="12">
        <f>IF(AQ75="2",BI75,0)</f>
        <v>0</v>
      </c>
      <c r="AH75" s="12">
        <f>IF(AQ75="0",BJ75,0)</f>
        <v>0</v>
      </c>
      <c r="AI75" s="27" t="s">
        <v>7</v>
      </c>
      <c r="AJ75" s="26">
        <f>IF(AN75=0,L75,0)</f>
        <v>0</v>
      </c>
      <c r="AK75" s="26">
        <f>IF(AN75=15,L75,0)</f>
        <v>0</v>
      </c>
      <c r="AL75" s="26">
        <f>IF(AN75=21,L75,0)</f>
        <v>0</v>
      </c>
      <c r="AN75" s="12">
        <v>21</v>
      </c>
      <c r="AO75" s="12">
        <f>K75*0</f>
        <v>0</v>
      </c>
      <c r="AP75" s="12">
        <f>K75*(1-0)</f>
        <v>0</v>
      </c>
      <c r="AQ75" s="32" t="s">
        <v>85</v>
      </c>
      <c r="AV75" s="12">
        <f>AW75+AX75</f>
        <v>0</v>
      </c>
      <c r="AW75" s="12">
        <f>J75*AO75</f>
        <v>0</v>
      </c>
      <c r="AX75" s="12">
        <f>J75*AP75</f>
        <v>0</v>
      </c>
      <c r="AY75" s="78" t="s">
        <v>893</v>
      </c>
      <c r="AZ75" s="78" t="s">
        <v>913</v>
      </c>
      <c r="BA75" s="27" t="s">
        <v>928</v>
      </c>
      <c r="BC75" s="12">
        <f>AW75+AX75</f>
        <v>0</v>
      </c>
      <c r="BD75" s="12">
        <f>K75/(100-BE75)*100</f>
        <v>0</v>
      </c>
      <c r="BE75" s="12">
        <v>0</v>
      </c>
      <c r="BF75" s="12">
        <f>75</f>
        <v>75</v>
      </c>
      <c r="BH75" s="26">
        <f>J75*AO75</f>
        <v>0</v>
      </c>
      <c r="BI75" s="26">
        <f>J75*AP75</f>
        <v>0</v>
      </c>
      <c r="BJ75" s="26">
        <f>J75*K75</f>
        <v>0</v>
      </c>
    </row>
    <row r="76" spans="1:62" x14ac:dyDescent="0.2">
      <c r="C76" s="62" t="s">
        <v>296</v>
      </c>
      <c r="D76" s="113" t="s">
        <v>551</v>
      </c>
      <c r="E76" s="114"/>
      <c r="F76" s="114"/>
      <c r="G76" s="114"/>
      <c r="H76" s="114"/>
      <c r="I76" s="114"/>
      <c r="J76" s="114"/>
      <c r="K76" s="154"/>
      <c r="L76" s="114"/>
      <c r="M76" s="114"/>
    </row>
    <row r="77" spans="1:62" x14ac:dyDescent="0.2">
      <c r="A77" s="20" t="s">
        <v>115</v>
      </c>
      <c r="B77" s="20" t="s">
        <v>7</v>
      </c>
      <c r="C77" s="20" t="s">
        <v>322</v>
      </c>
      <c r="D77" s="121" t="s">
        <v>552</v>
      </c>
      <c r="E77" s="122"/>
      <c r="F77" s="122"/>
      <c r="G77" s="122"/>
      <c r="H77" s="122"/>
      <c r="I77" s="20" t="s">
        <v>785</v>
      </c>
      <c r="J77" s="29">
        <v>24.75</v>
      </c>
      <c r="K77" s="70">
        <v>0</v>
      </c>
      <c r="L77" s="29">
        <f>J77*K77</f>
        <v>0</v>
      </c>
      <c r="M77" s="33" t="s">
        <v>874</v>
      </c>
      <c r="Z77" s="12">
        <f>IF(AQ77="5",BJ77,0)</f>
        <v>0</v>
      </c>
      <c r="AB77" s="12">
        <f>IF(AQ77="1",BH77,0)</f>
        <v>0</v>
      </c>
      <c r="AC77" s="12">
        <f>IF(AQ77="1",BI77,0)</f>
        <v>0</v>
      </c>
      <c r="AD77" s="12">
        <f>IF(AQ77="7",BH77,0)</f>
        <v>0</v>
      </c>
      <c r="AE77" s="12">
        <f>IF(AQ77="7",BI77,0)</f>
        <v>0</v>
      </c>
      <c r="AF77" s="12">
        <f>IF(AQ77="2",BH77,0)</f>
        <v>0</v>
      </c>
      <c r="AG77" s="12">
        <f>IF(AQ77="2",BI77,0)</f>
        <v>0</v>
      </c>
      <c r="AH77" s="12">
        <f>IF(AQ77="0",BJ77,0)</f>
        <v>0</v>
      </c>
      <c r="AI77" s="27" t="s">
        <v>7</v>
      </c>
      <c r="AJ77" s="29">
        <f>IF(AN77=0,L77,0)</f>
        <v>0</v>
      </c>
      <c r="AK77" s="29">
        <f>IF(AN77=15,L77,0)</f>
        <v>0</v>
      </c>
      <c r="AL77" s="29">
        <f>IF(AN77=21,L77,0)</f>
        <v>0</v>
      </c>
      <c r="AN77" s="12">
        <v>21</v>
      </c>
      <c r="AO77" s="12">
        <f>K77*1</f>
        <v>0</v>
      </c>
      <c r="AP77" s="12">
        <f>K77*(1-1)</f>
        <v>0</v>
      </c>
      <c r="AQ77" s="33" t="s">
        <v>85</v>
      </c>
      <c r="AV77" s="12">
        <f>AW77+AX77</f>
        <v>0</v>
      </c>
      <c r="AW77" s="12">
        <f>J77*AO77</f>
        <v>0</v>
      </c>
      <c r="AX77" s="12">
        <f>J77*AP77</f>
        <v>0</v>
      </c>
      <c r="AY77" s="78" t="s">
        <v>893</v>
      </c>
      <c r="AZ77" s="78" t="s">
        <v>913</v>
      </c>
      <c r="BA77" s="27" t="s">
        <v>928</v>
      </c>
      <c r="BC77" s="12">
        <f>AW77+AX77</f>
        <v>0</v>
      </c>
      <c r="BD77" s="12">
        <f>K77/(100-BE77)*100</f>
        <v>0</v>
      </c>
      <c r="BE77" s="12">
        <v>0</v>
      </c>
      <c r="BF77" s="12">
        <f>77</f>
        <v>77</v>
      </c>
      <c r="BH77" s="29">
        <f>J77*AO77</f>
        <v>0</v>
      </c>
      <c r="BI77" s="29">
        <f>J77*AP77</f>
        <v>0</v>
      </c>
      <c r="BJ77" s="29">
        <f>J77*K77</f>
        <v>0</v>
      </c>
    </row>
    <row r="78" spans="1:62" ht="25.7" customHeight="1" x14ac:dyDescent="0.2">
      <c r="C78" s="62" t="s">
        <v>296</v>
      </c>
      <c r="D78" s="113" t="s">
        <v>554</v>
      </c>
      <c r="E78" s="114"/>
      <c r="F78" s="114"/>
      <c r="G78" s="114"/>
      <c r="H78" s="114"/>
      <c r="I78" s="114"/>
      <c r="J78" s="114"/>
      <c r="K78" s="154"/>
      <c r="L78" s="114"/>
      <c r="M78" s="114"/>
    </row>
    <row r="79" spans="1:62" x14ac:dyDescent="0.2">
      <c r="A79" s="18" t="s">
        <v>116</v>
      </c>
      <c r="B79" s="18" t="s">
        <v>7</v>
      </c>
      <c r="C79" s="18" t="s">
        <v>323</v>
      </c>
      <c r="D79" s="111" t="s">
        <v>560</v>
      </c>
      <c r="E79" s="112"/>
      <c r="F79" s="112"/>
      <c r="G79" s="112"/>
      <c r="H79" s="112"/>
      <c r="I79" s="18" t="s">
        <v>783</v>
      </c>
      <c r="J79" s="26">
        <v>2784</v>
      </c>
      <c r="K79" s="69">
        <v>0</v>
      </c>
      <c r="L79" s="26">
        <f>J79*K79</f>
        <v>0</v>
      </c>
      <c r="M79" s="32" t="s">
        <v>874</v>
      </c>
      <c r="Z79" s="12">
        <f>IF(AQ79="5",BJ79,0)</f>
        <v>0</v>
      </c>
      <c r="AB79" s="12">
        <f>IF(AQ79="1",BH79,0)</f>
        <v>0</v>
      </c>
      <c r="AC79" s="12">
        <f>IF(AQ79="1",BI79,0)</f>
        <v>0</v>
      </c>
      <c r="AD79" s="12">
        <f>IF(AQ79="7",BH79,0)</f>
        <v>0</v>
      </c>
      <c r="AE79" s="12">
        <f>IF(AQ79="7",BI79,0)</f>
        <v>0</v>
      </c>
      <c r="AF79" s="12">
        <f>IF(AQ79="2",BH79,0)</f>
        <v>0</v>
      </c>
      <c r="AG79" s="12">
        <f>IF(AQ79="2",BI79,0)</f>
        <v>0</v>
      </c>
      <c r="AH79" s="12">
        <f>IF(AQ79="0",BJ79,0)</f>
        <v>0</v>
      </c>
      <c r="AI79" s="27" t="s">
        <v>7</v>
      </c>
      <c r="AJ79" s="26">
        <f>IF(AN79=0,L79,0)</f>
        <v>0</v>
      </c>
      <c r="AK79" s="26">
        <f>IF(AN79=15,L79,0)</f>
        <v>0</v>
      </c>
      <c r="AL79" s="26">
        <f>IF(AN79=21,L79,0)</f>
        <v>0</v>
      </c>
      <c r="AN79" s="12">
        <v>21</v>
      </c>
      <c r="AO79" s="12">
        <f>K79*0</f>
        <v>0</v>
      </c>
      <c r="AP79" s="12">
        <f>K79*(1-0)</f>
        <v>0</v>
      </c>
      <c r="AQ79" s="32" t="s">
        <v>85</v>
      </c>
      <c r="AV79" s="12">
        <f>AW79+AX79</f>
        <v>0</v>
      </c>
      <c r="AW79" s="12">
        <f>J79*AO79</f>
        <v>0</v>
      </c>
      <c r="AX79" s="12">
        <f>J79*AP79</f>
        <v>0</v>
      </c>
      <c r="AY79" s="78" t="s">
        <v>893</v>
      </c>
      <c r="AZ79" s="78" t="s">
        <v>913</v>
      </c>
      <c r="BA79" s="27" t="s">
        <v>928</v>
      </c>
      <c r="BC79" s="12">
        <f>AW79+AX79</f>
        <v>0</v>
      </c>
      <c r="BD79" s="12">
        <f>K79/(100-BE79)*100</f>
        <v>0</v>
      </c>
      <c r="BE79" s="12">
        <v>0</v>
      </c>
      <c r="BF79" s="12">
        <f>79</f>
        <v>79</v>
      </c>
      <c r="BH79" s="26">
        <f>J79*AO79</f>
        <v>0</v>
      </c>
      <c r="BI79" s="26">
        <f>J79*AP79</f>
        <v>0</v>
      </c>
      <c r="BJ79" s="26">
        <f>J79*K79</f>
        <v>0</v>
      </c>
    </row>
    <row r="80" spans="1:62" x14ac:dyDescent="0.2">
      <c r="A80" s="18" t="s">
        <v>117</v>
      </c>
      <c r="B80" s="18" t="s">
        <v>7</v>
      </c>
      <c r="C80" s="18" t="s">
        <v>324</v>
      </c>
      <c r="D80" s="111" t="s">
        <v>561</v>
      </c>
      <c r="E80" s="112"/>
      <c r="F80" s="112"/>
      <c r="G80" s="112"/>
      <c r="H80" s="112"/>
      <c r="I80" s="18" t="s">
        <v>783</v>
      </c>
      <c r="J80" s="26">
        <v>759</v>
      </c>
      <c r="K80" s="69">
        <v>0</v>
      </c>
      <c r="L80" s="26">
        <f>J80*K80</f>
        <v>0</v>
      </c>
      <c r="M80" s="32" t="s">
        <v>874</v>
      </c>
      <c r="Z80" s="12">
        <f>IF(AQ80="5",BJ80,0)</f>
        <v>0</v>
      </c>
      <c r="AB80" s="12">
        <f>IF(AQ80="1",BH80,0)</f>
        <v>0</v>
      </c>
      <c r="AC80" s="12">
        <f>IF(AQ80="1",BI80,0)</f>
        <v>0</v>
      </c>
      <c r="AD80" s="12">
        <f>IF(AQ80="7",BH80,0)</f>
        <v>0</v>
      </c>
      <c r="AE80" s="12">
        <f>IF(AQ80="7",BI80,0)</f>
        <v>0</v>
      </c>
      <c r="AF80" s="12">
        <f>IF(AQ80="2",BH80,0)</f>
        <v>0</v>
      </c>
      <c r="AG80" s="12">
        <f>IF(AQ80="2",BI80,0)</f>
        <v>0</v>
      </c>
      <c r="AH80" s="12">
        <f>IF(AQ80="0",BJ80,0)</f>
        <v>0</v>
      </c>
      <c r="AI80" s="27" t="s">
        <v>7</v>
      </c>
      <c r="AJ80" s="26">
        <f>IF(AN80=0,L80,0)</f>
        <v>0</v>
      </c>
      <c r="AK80" s="26">
        <f>IF(AN80=15,L80,0)</f>
        <v>0</v>
      </c>
      <c r="AL80" s="26">
        <f>IF(AN80=21,L80,0)</f>
        <v>0</v>
      </c>
      <c r="AN80" s="12">
        <v>21</v>
      </c>
      <c r="AO80" s="12">
        <f>K80*0.428571428571429</f>
        <v>0</v>
      </c>
      <c r="AP80" s="12">
        <f>K80*(1-0.428571428571429)</f>
        <v>0</v>
      </c>
      <c r="AQ80" s="32" t="s">
        <v>85</v>
      </c>
      <c r="AV80" s="12">
        <f>AW80+AX80</f>
        <v>0</v>
      </c>
      <c r="AW80" s="12">
        <f>J80*AO80</f>
        <v>0</v>
      </c>
      <c r="AX80" s="12">
        <f>J80*AP80</f>
        <v>0</v>
      </c>
      <c r="AY80" s="78" t="s">
        <v>893</v>
      </c>
      <c r="AZ80" s="78" t="s">
        <v>913</v>
      </c>
      <c r="BA80" s="27" t="s">
        <v>928</v>
      </c>
      <c r="BC80" s="12">
        <f>AW80+AX80</f>
        <v>0</v>
      </c>
      <c r="BD80" s="12">
        <f>K80/(100-BE80)*100</f>
        <v>0</v>
      </c>
      <c r="BE80" s="12">
        <v>0</v>
      </c>
      <c r="BF80" s="12">
        <f>80</f>
        <v>80</v>
      </c>
      <c r="BH80" s="26">
        <f>J80*AO80</f>
        <v>0</v>
      </c>
      <c r="BI80" s="26">
        <f>J80*AP80</f>
        <v>0</v>
      </c>
      <c r="BJ80" s="26">
        <f>J80*K80</f>
        <v>0</v>
      </c>
    </row>
    <row r="81" spans="1:62" x14ac:dyDescent="0.2">
      <c r="D81" s="157" t="s">
        <v>851</v>
      </c>
      <c r="E81" s="158"/>
      <c r="F81" s="158"/>
      <c r="G81" s="158"/>
      <c r="H81" s="158"/>
      <c r="K81" s="71"/>
    </row>
    <row r="82" spans="1:62" x14ac:dyDescent="0.2">
      <c r="A82" s="18" t="s">
        <v>118</v>
      </c>
      <c r="B82" s="18" t="s">
        <v>7</v>
      </c>
      <c r="C82" s="18" t="s">
        <v>325</v>
      </c>
      <c r="D82" s="111" t="s">
        <v>562</v>
      </c>
      <c r="E82" s="112"/>
      <c r="F82" s="112"/>
      <c r="G82" s="112"/>
      <c r="H82" s="112"/>
      <c r="I82" s="18" t="s">
        <v>783</v>
      </c>
      <c r="J82" s="26">
        <v>759</v>
      </c>
      <c r="K82" s="69">
        <v>0</v>
      </c>
      <c r="L82" s="26">
        <f t="shared" ref="L82:L113" si="22">J82*K82</f>
        <v>0</v>
      </c>
      <c r="M82" s="32" t="s">
        <v>874</v>
      </c>
      <c r="Z82" s="12">
        <f t="shared" ref="Z82:Z113" si="23">IF(AQ82="5",BJ82,0)</f>
        <v>0</v>
      </c>
      <c r="AB82" s="12">
        <f t="shared" ref="AB82:AB113" si="24">IF(AQ82="1",BH82,0)</f>
        <v>0</v>
      </c>
      <c r="AC82" s="12">
        <f t="shared" ref="AC82:AC113" si="25">IF(AQ82="1",BI82,0)</f>
        <v>0</v>
      </c>
      <c r="AD82" s="12">
        <f t="shared" ref="AD82:AD113" si="26">IF(AQ82="7",BH82,0)</f>
        <v>0</v>
      </c>
      <c r="AE82" s="12">
        <f t="shared" ref="AE82:AE113" si="27">IF(AQ82="7",BI82,0)</f>
        <v>0</v>
      </c>
      <c r="AF82" s="12">
        <f t="shared" ref="AF82:AF113" si="28">IF(AQ82="2",BH82,0)</f>
        <v>0</v>
      </c>
      <c r="AG82" s="12">
        <f t="shared" ref="AG82:AG113" si="29">IF(AQ82="2",BI82,0)</f>
        <v>0</v>
      </c>
      <c r="AH82" s="12">
        <f t="shared" ref="AH82:AH113" si="30">IF(AQ82="0",BJ82,0)</f>
        <v>0</v>
      </c>
      <c r="AI82" s="27" t="s">
        <v>7</v>
      </c>
      <c r="AJ82" s="26">
        <f t="shared" ref="AJ82:AJ113" si="31">IF(AN82=0,L82,0)</f>
        <v>0</v>
      </c>
      <c r="AK82" s="26">
        <f t="shared" ref="AK82:AK113" si="32">IF(AN82=15,L82,0)</f>
        <v>0</v>
      </c>
      <c r="AL82" s="26">
        <f t="shared" ref="AL82:AL113" si="33">IF(AN82=21,L82,0)</f>
        <v>0</v>
      </c>
      <c r="AN82" s="12">
        <v>21</v>
      </c>
      <c r="AO82" s="12">
        <f>K82*0</f>
        <v>0</v>
      </c>
      <c r="AP82" s="12">
        <f>K82*(1-0)</f>
        <v>0</v>
      </c>
      <c r="AQ82" s="32" t="s">
        <v>85</v>
      </c>
      <c r="AV82" s="12">
        <f t="shared" ref="AV82:AV113" si="34">AW82+AX82</f>
        <v>0</v>
      </c>
      <c r="AW82" s="12">
        <f t="shared" ref="AW82:AW113" si="35">J82*AO82</f>
        <v>0</v>
      </c>
      <c r="AX82" s="12">
        <f t="shared" ref="AX82:AX113" si="36">J82*AP82</f>
        <v>0</v>
      </c>
      <c r="AY82" s="78" t="s">
        <v>893</v>
      </c>
      <c r="AZ82" s="78" t="s">
        <v>913</v>
      </c>
      <c r="BA82" s="27" t="s">
        <v>928</v>
      </c>
      <c r="BC82" s="12">
        <f t="shared" ref="BC82:BC113" si="37">AW82+AX82</f>
        <v>0</v>
      </c>
      <c r="BD82" s="12">
        <f t="shared" ref="BD82:BD113" si="38">K82/(100-BE82)*100</f>
        <v>0</v>
      </c>
      <c r="BE82" s="12">
        <v>0</v>
      </c>
      <c r="BF82" s="12">
        <f>82</f>
        <v>82</v>
      </c>
      <c r="BH82" s="26">
        <f t="shared" ref="BH82:BH113" si="39">J82*AO82</f>
        <v>0</v>
      </c>
      <c r="BI82" s="26">
        <f t="shared" ref="BI82:BI113" si="40">J82*AP82</f>
        <v>0</v>
      </c>
      <c r="BJ82" s="26">
        <f t="shared" ref="BJ82:BJ113" si="41">J82*K82</f>
        <v>0</v>
      </c>
    </row>
    <row r="83" spans="1:62" x14ac:dyDescent="0.2">
      <c r="A83" s="20" t="s">
        <v>22</v>
      </c>
      <c r="B83" s="20" t="s">
        <v>7</v>
      </c>
      <c r="C83" s="20" t="s">
        <v>326</v>
      </c>
      <c r="D83" s="121" t="s">
        <v>563</v>
      </c>
      <c r="E83" s="122"/>
      <c r="F83" s="122"/>
      <c r="G83" s="122"/>
      <c r="H83" s="122"/>
      <c r="I83" s="20" t="s">
        <v>785</v>
      </c>
      <c r="J83" s="29">
        <v>75.900000000000006</v>
      </c>
      <c r="K83" s="70">
        <v>0</v>
      </c>
      <c r="L83" s="29">
        <f t="shared" si="22"/>
        <v>0</v>
      </c>
      <c r="M83" s="33" t="s">
        <v>874</v>
      </c>
      <c r="Z83" s="12">
        <f t="shared" si="23"/>
        <v>0</v>
      </c>
      <c r="AB83" s="12">
        <f t="shared" si="24"/>
        <v>0</v>
      </c>
      <c r="AC83" s="12">
        <f t="shared" si="25"/>
        <v>0</v>
      </c>
      <c r="AD83" s="12">
        <f t="shared" si="26"/>
        <v>0</v>
      </c>
      <c r="AE83" s="12">
        <f t="shared" si="27"/>
        <v>0</v>
      </c>
      <c r="AF83" s="12">
        <f t="shared" si="28"/>
        <v>0</v>
      </c>
      <c r="AG83" s="12">
        <f t="shared" si="29"/>
        <v>0</v>
      </c>
      <c r="AH83" s="12">
        <f t="shared" si="30"/>
        <v>0</v>
      </c>
      <c r="AI83" s="27" t="s">
        <v>7</v>
      </c>
      <c r="AJ83" s="29">
        <f t="shared" si="31"/>
        <v>0</v>
      </c>
      <c r="AK83" s="29">
        <f t="shared" si="32"/>
        <v>0</v>
      </c>
      <c r="AL83" s="29">
        <f t="shared" si="33"/>
        <v>0</v>
      </c>
      <c r="AN83" s="12">
        <v>21</v>
      </c>
      <c r="AO83" s="12">
        <f>K83*1</f>
        <v>0</v>
      </c>
      <c r="AP83" s="12">
        <f>K83*(1-1)</f>
        <v>0</v>
      </c>
      <c r="AQ83" s="33" t="s">
        <v>85</v>
      </c>
      <c r="AV83" s="12">
        <f t="shared" si="34"/>
        <v>0</v>
      </c>
      <c r="AW83" s="12">
        <f t="shared" si="35"/>
        <v>0</v>
      </c>
      <c r="AX83" s="12">
        <f t="shared" si="36"/>
        <v>0</v>
      </c>
      <c r="AY83" s="78" t="s">
        <v>893</v>
      </c>
      <c r="AZ83" s="78" t="s">
        <v>913</v>
      </c>
      <c r="BA83" s="27" t="s">
        <v>928</v>
      </c>
      <c r="BC83" s="12">
        <f t="shared" si="37"/>
        <v>0</v>
      </c>
      <c r="BD83" s="12">
        <f t="shared" si="38"/>
        <v>0</v>
      </c>
      <c r="BE83" s="12">
        <v>0</v>
      </c>
      <c r="BF83" s="12">
        <f>83</f>
        <v>83</v>
      </c>
      <c r="BH83" s="29">
        <f t="shared" si="39"/>
        <v>0</v>
      </c>
      <c r="BI83" s="29">
        <f t="shared" si="40"/>
        <v>0</v>
      </c>
      <c r="BJ83" s="29">
        <f t="shared" si="41"/>
        <v>0</v>
      </c>
    </row>
    <row r="84" spans="1:62" x14ac:dyDescent="0.2">
      <c r="A84" s="18" t="s">
        <v>119</v>
      </c>
      <c r="B84" s="18" t="s">
        <v>7</v>
      </c>
      <c r="C84" s="18" t="s">
        <v>327</v>
      </c>
      <c r="D84" s="111" t="s">
        <v>569</v>
      </c>
      <c r="E84" s="112"/>
      <c r="F84" s="112"/>
      <c r="G84" s="112"/>
      <c r="H84" s="112"/>
      <c r="I84" s="18" t="s">
        <v>783</v>
      </c>
      <c r="J84" s="26">
        <v>759</v>
      </c>
      <c r="K84" s="69">
        <v>0</v>
      </c>
      <c r="L84" s="26">
        <f t="shared" si="22"/>
        <v>0</v>
      </c>
      <c r="M84" s="32" t="s">
        <v>874</v>
      </c>
      <c r="Z84" s="12">
        <f t="shared" si="23"/>
        <v>0</v>
      </c>
      <c r="AB84" s="12">
        <f t="shared" si="24"/>
        <v>0</v>
      </c>
      <c r="AC84" s="12">
        <f t="shared" si="25"/>
        <v>0</v>
      </c>
      <c r="AD84" s="12">
        <f t="shared" si="26"/>
        <v>0</v>
      </c>
      <c r="AE84" s="12">
        <f t="shared" si="27"/>
        <v>0</v>
      </c>
      <c r="AF84" s="12">
        <f t="shared" si="28"/>
        <v>0</v>
      </c>
      <c r="AG84" s="12">
        <f t="shared" si="29"/>
        <v>0</v>
      </c>
      <c r="AH84" s="12">
        <f t="shared" si="30"/>
        <v>0</v>
      </c>
      <c r="AI84" s="27" t="s">
        <v>7</v>
      </c>
      <c r="AJ84" s="26">
        <f t="shared" si="31"/>
        <v>0</v>
      </c>
      <c r="AK84" s="26">
        <f t="shared" si="32"/>
        <v>0</v>
      </c>
      <c r="AL84" s="26">
        <f t="shared" si="33"/>
        <v>0</v>
      </c>
      <c r="AN84" s="12">
        <v>21</v>
      </c>
      <c r="AO84" s="12">
        <f>K84*0</f>
        <v>0</v>
      </c>
      <c r="AP84" s="12">
        <f>K84*(1-0)</f>
        <v>0</v>
      </c>
      <c r="AQ84" s="32" t="s">
        <v>85</v>
      </c>
      <c r="AV84" s="12">
        <f t="shared" si="34"/>
        <v>0</v>
      </c>
      <c r="AW84" s="12">
        <f t="shared" si="35"/>
        <v>0</v>
      </c>
      <c r="AX84" s="12">
        <f t="shared" si="36"/>
        <v>0</v>
      </c>
      <c r="AY84" s="78" t="s">
        <v>893</v>
      </c>
      <c r="AZ84" s="78" t="s">
        <v>913</v>
      </c>
      <c r="BA84" s="27" t="s">
        <v>928</v>
      </c>
      <c r="BC84" s="12">
        <f t="shared" si="37"/>
        <v>0</v>
      </c>
      <c r="BD84" s="12">
        <f t="shared" si="38"/>
        <v>0</v>
      </c>
      <c r="BE84" s="12">
        <v>0</v>
      </c>
      <c r="BF84" s="12">
        <f>84</f>
        <v>84</v>
      </c>
      <c r="BH84" s="26">
        <f t="shared" si="39"/>
        <v>0</v>
      </c>
      <c r="BI84" s="26">
        <f t="shared" si="40"/>
        <v>0</v>
      </c>
      <c r="BJ84" s="26">
        <f t="shared" si="41"/>
        <v>0</v>
      </c>
    </row>
    <row r="85" spans="1:62" x14ac:dyDescent="0.2">
      <c r="A85" s="18" t="s">
        <v>120</v>
      </c>
      <c r="B85" s="18" t="s">
        <v>7</v>
      </c>
      <c r="C85" s="18" t="s">
        <v>328</v>
      </c>
      <c r="D85" s="111" t="s">
        <v>570</v>
      </c>
      <c r="E85" s="112"/>
      <c r="F85" s="112"/>
      <c r="G85" s="112"/>
      <c r="H85" s="112"/>
      <c r="I85" s="18" t="s">
        <v>785</v>
      </c>
      <c r="J85" s="26">
        <v>18.975000000000001</v>
      </c>
      <c r="K85" s="69">
        <v>0</v>
      </c>
      <c r="L85" s="26">
        <f t="shared" si="22"/>
        <v>0</v>
      </c>
      <c r="M85" s="32" t="s">
        <v>874</v>
      </c>
      <c r="Z85" s="12">
        <f t="shared" si="23"/>
        <v>0</v>
      </c>
      <c r="AB85" s="12">
        <f t="shared" si="24"/>
        <v>0</v>
      </c>
      <c r="AC85" s="12">
        <f t="shared" si="25"/>
        <v>0</v>
      </c>
      <c r="AD85" s="12">
        <f t="shared" si="26"/>
        <v>0</v>
      </c>
      <c r="AE85" s="12">
        <f t="shared" si="27"/>
        <v>0</v>
      </c>
      <c r="AF85" s="12">
        <f t="shared" si="28"/>
        <v>0</v>
      </c>
      <c r="AG85" s="12">
        <f t="shared" si="29"/>
        <v>0</v>
      </c>
      <c r="AH85" s="12">
        <f t="shared" si="30"/>
        <v>0</v>
      </c>
      <c r="AI85" s="27" t="s">
        <v>7</v>
      </c>
      <c r="AJ85" s="26">
        <f t="shared" si="31"/>
        <v>0</v>
      </c>
      <c r="AK85" s="26">
        <f t="shared" si="32"/>
        <v>0</v>
      </c>
      <c r="AL85" s="26">
        <f t="shared" si="33"/>
        <v>0</v>
      </c>
      <c r="AN85" s="12">
        <v>21</v>
      </c>
      <c r="AO85" s="12">
        <f>K85*0.305970149253731</f>
        <v>0</v>
      </c>
      <c r="AP85" s="12">
        <f>K85*(1-0.305970149253731)</f>
        <v>0</v>
      </c>
      <c r="AQ85" s="32" t="s">
        <v>85</v>
      </c>
      <c r="AV85" s="12">
        <f t="shared" si="34"/>
        <v>0</v>
      </c>
      <c r="AW85" s="12">
        <f t="shared" si="35"/>
        <v>0</v>
      </c>
      <c r="AX85" s="12">
        <f t="shared" si="36"/>
        <v>0</v>
      </c>
      <c r="AY85" s="78" t="s">
        <v>893</v>
      </c>
      <c r="AZ85" s="78" t="s">
        <v>913</v>
      </c>
      <c r="BA85" s="27" t="s">
        <v>928</v>
      </c>
      <c r="BC85" s="12">
        <f t="shared" si="37"/>
        <v>0</v>
      </c>
      <c r="BD85" s="12">
        <f t="shared" si="38"/>
        <v>0</v>
      </c>
      <c r="BE85" s="12">
        <v>0</v>
      </c>
      <c r="BF85" s="12">
        <f>85</f>
        <v>85</v>
      </c>
      <c r="BH85" s="26">
        <f t="shared" si="39"/>
        <v>0</v>
      </c>
      <c r="BI85" s="26">
        <f t="shared" si="40"/>
        <v>0</v>
      </c>
      <c r="BJ85" s="26">
        <f t="shared" si="41"/>
        <v>0</v>
      </c>
    </row>
    <row r="86" spans="1:62" x14ac:dyDescent="0.2">
      <c r="A86" s="18" t="s">
        <v>121</v>
      </c>
      <c r="B86" s="18" t="s">
        <v>7</v>
      </c>
      <c r="C86" s="18" t="s">
        <v>329</v>
      </c>
      <c r="D86" s="111" t="s">
        <v>576</v>
      </c>
      <c r="E86" s="112"/>
      <c r="F86" s="112"/>
      <c r="G86" s="112"/>
      <c r="H86" s="112"/>
      <c r="I86" s="18" t="s">
        <v>785</v>
      </c>
      <c r="J86" s="26">
        <v>18.975000000000001</v>
      </c>
      <c r="K86" s="69">
        <v>0</v>
      </c>
      <c r="L86" s="26">
        <f t="shared" si="22"/>
        <v>0</v>
      </c>
      <c r="M86" s="32" t="s">
        <v>874</v>
      </c>
      <c r="Z86" s="12">
        <f t="shared" si="23"/>
        <v>0</v>
      </c>
      <c r="AB86" s="12">
        <f t="shared" si="24"/>
        <v>0</v>
      </c>
      <c r="AC86" s="12">
        <f t="shared" si="25"/>
        <v>0</v>
      </c>
      <c r="AD86" s="12">
        <f t="shared" si="26"/>
        <v>0</v>
      </c>
      <c r="AE86" s="12">
        <f t="shared" si="27"/>
        <v>0</v>
      </c>
      <c r="AF86" s="12">
        <f t="shared" si="28"/>
        <v>0</v>
      </c>
      <c r="AG86" s="12">
        <f t="shared" si="29"/>
        <v>0</v>
      </c>
      <c r="AH86" s="12">
        <f t="shared" si="30"/>
        <v>0</v>
      </c>
      <c r="AI86" s="27" t="s">
        <v>7</v>
      </c>
      <c r="AJ86" s="26">
        <f t="shared" si="31"/>
        <v>0</v>
      </c>
      <c r="AK86" s="26">
        <f t="shared" si="32"/>
        <v>0</v>
      </c>
      <c r="AL86" s="26">
        <f t="shared" si="33"/>
        <v>0</v>
      </c>
      <c r="AN86" s="12">
        <v>21</v>
      </c>
      <c r="AO86" s="12">
        <f>K86*0</f>
        <v>0</v>
      </c>
      <c r="AP86" s="12">
        <f>K86*(1-0)</f>
        <v>0</v>
      </c>
      <c r="AQ86" s="32" t="s">
        <v>85</v>
      </c>
      <c r="AV86" s="12">
        <f t="shared" si="34"/>
        <v>0</v>
      </c>
      <c r="AW86" s="12">
        <f t="shared" si="35"/>
        <v>0</v>
      </c>
      <c r="AX86" s="12">
        <f t="shared" si="36"/>
        <v>0</v>
      </c>
      <c r="AY86" s="78" t="s">
        <v>893</v>
      </c>
      <c r="AZ86" s="78" t="s">
        <v>913</v>
      </c>
      <c r="BA86" s="27" t="s">
        <v>928</v>
      </c>
      <c r="BC86" s="12">
        <f t="shared" si="37"/>
        <v>0</v>
      </c>
      <c r="BD86" s="12">
        <f t="shared" si="38"/>
        <v>0</v>
      </c>
      <c r="BE86" s="12">
        <v>0</v>
      </c>
      <c r="BF86" s="12">
        <f>86</f>
        <v>86</v>
      </c>
      <c r="BH86" s="26">
        <f t="shared" si="39"/>
        <v>0</v>
      </c>
      <c r="BI86" s="26">
        <f t="shared" si="40"/>
        <v>0</v>
      </c>
      <c r="BJ86" s="26">
        <f t="shared" si="41"/>
        <v>0</v>
      </c>
    </row>
    <row r="87" spans="1:62" x14ac:dyDescent="0.2">
      <c r="A87" s="18" t="s">
        <v>122</v>
      </c>
      <c r="B87" s="18" t="s">
        <v>7</v>
      </c>
      <c r="C87" s="18" t="s">
        <v>330</v>
      </c>
      <c r="D87" s="111" t="s">
        <v>577</v>
      </c>
      <c r="E87" s="112"/>
      <c r="F87" s="112"/>
      <c r="G87" s="112"/>
      <c r="H87" s="112"/>
      <c r="I87" s="18" t="s">
        <v>784</v>
      </c>
      <c r="J87" s="26">
        <v>3</v>
      </c>
      <c r="K87" s="69">
        <v>0</v>
      </c>
      <c r="L87" s="26">
        <f t="shared" si="22"/>
        <v>0</v>
      </c>
      <c r="M87" s="32" t="s">
        <v>874</v>
      </c>
      <c r="Z87" s="12">
        <f t="shared" si="23"/>
        <v>0</v>
      </c>
      <c r="AB87" s="12">
        <f t="shared" si="24"/>
        <v>0</v>
      </c>
      <c r="AC87" s="12">
        <f t="shared" si="25"/>
        <v>0</v>
      </c>
      <c r="AD87" s="12">
        <f t="shared" si="26"/>
        <v>0</v>
      </c>
      <c r="AE87" s="12">
        <f t="shared" si="27"/>
        <v>0</v>
      </c>
      <c r="AF87" s="12">
        <f t="shared" si="28"/>
        <v>0</v>
      </c>
      <c r="AG87" s="12">
        <f t="shared" si="29"/>
        <v>0</v>
      </c>
      <c r="AH87" s="12">
        <f t="shared" si="30"/>
        <v>0</v>
      </c>
      <c r="AI87" s="27" t="s">
        <v>7</v>
      </c>
      <c r="AJ87" s="26">
        <f t="shared" si="31"/>
        <v>0</v>
      </c>
      <c r="AK87" s="26">
        <f t="shared" si="32"/>
        <v>0</v>
      </c>
      <c r="AL87" s="26">
        <f t="shared" si="33"/>
        <v>0</v>
      </c>
      <c r="AN87" s="12">
        <v>21</v>
      </c>
      <c r="AO87" s="12">
        <f>K87*0.0311392405063291</f>
        <v>0</v>
      </c>
      <c r="AP87" s="12">
        <f>K87*(1-0.0311392405063291)</f>
        <v>0</v>
      </c>
      <c r="AQ87" s="32" t="s">
        <v>85</v>
      </c>
      <c r="AV87" s="12">
        <f t="shared" si="34"/>
        <v>0</v>
      </c>
      <c r="AW87" s="12">
        <f t="shared" si="35"/>
        <v>0</v>
      </c>
      <c r="AX87" s="12">
        <f t="shared" si="36"/>
        <v>0</v>
      </c>
      <c r="AY87" s="78" t="s">
        <v>893</v>
      </c>
      <c r="AZ87" s="78" t="s">
        <v>913</v>
      </c>
      <c r="BA87" s="27" t="s">
        <v>928</v>
      </c>
      <c r="BC87" s="12">
        <f t="shared" si="37"/>
        <v>0</v>
      </c>
      <c r="BD87" s="12">
        <f t="shared" si="38"/>
        <v>0</v>
      </c>
      <c r="BE87" s="12">
        <v>0</v>
      </c>
      <c r="BF87" s="12">
        <f>87</f>
        <v>87</v>
      </c>
      <c r="BH87" s="26">
        <f t="shared" si="39"/>
        <v>0</v>
      </c>
      <c r="BI87" s="26">
        <f t="shared" si="40"/>
        <v>0</v>
      </c>
      <c r="BJ87" s="26">
        <f t="shared" si="41"/>
        <v>0</v>
      </c>
    </row>
    <row r="88" spans="1:62" x14ac:dyDescent="0.2">
      <c r="A88" s="18" t="s">
        <v>123</v>
      </c>
      <c r="B88" s="18" t="s">
        <v>7</v>
      </c>
      <c r="C88" s="18" t="s">
        <v>331</v>
      </c>
      <c r="D88" s="111" t="s">
        <v>578</v>
      </c>
      <c r="E88" s="112"/>
      <c r="F88" s="112"/>
      <c r="G88" s="112"/>
      <c r="H88" s="112"/>
      <c r="I88" s="18" t="s">
        <v>784</v>
      </c>
      <c r="J88" s="26">
        <v>3</v>
      </c>
      <c r="K88" s="69">
        <v>0</v>
      </c>
      <c r="L88" s="26">
        <f t="shared" si="22"/>
        <v>0</v>
      </c>
      <c r="M88" s="32" t="s">
        <v>874</v>
      </c>
      <c r="Z88" s="12">
        <f t="shared" si="23"/>
        <v>0</v>
      </c>
      <c r="AB88" s="12">
        <f t="shared" si="24"/>
        <v>0</v>
      </c>
      <c r="AC88" s="12">
        <f t="shared" si="25"/>
        <v>0</v>
      </c>
      <c r="AD88" s="12">
        <f t="shared" si="26"/>
        <v>0</v>
      </c>
      <c r="AE88" s="12">
        <f t="shared" si="27"/>
        <v>0</v>
      </c>
      <c r="AF88" s="12">
        <f t="shared" si="28"/>
        <v>0</v>
      </c>
      <c r="AG88" s="12">
        <f t="shared" si="29"/>
        <v>0</v>
      </c>
      <c r="AH88" s="12">
        <f t="shared" si="30"/>
        <v>0</v>
      </c>
      <c r="AI88" s="27" t="s">
        <v>7</v>
      </c>
      <c r="AJ88" s="26">
        <f t="shared" si="31"/>
        <v>0</v>
      </c>
      <c r="AK88" s="26">
        <f t="shared" si="32"/>
        <v>0</v>
      </c>
      <c r="AL88" s="26">
        <f t="shared" si="33"/>
        <v>0</v>
      </c>
      <c r="AN88" s="12">
        <v>21</v>
      </c>
      <c r="AO88" s="12">
        <f>K88*0</f>
        <v>0</v>
      </c>
      <c r="AP88" s="12">
        <f>K88*(1-0)</f>
        <v>0</v>
      </c>
      <c r="AQ88" s="32" t="s">
        <v>85</v>
      </c>
      <c r="AV88" s="12">
        <f t="shared" si="34"/>
        <v>0</v>
      </c>
      <c r="AW88" s="12">
        <f t="shared" si="35"/>
        <v>0</v>
      </c>
      <c r="AX88" s="12">
        <f t="shared" si="36"/>
        <v>0</v>
      </c>
      <c r="AY88" s="78" t="s">
        <v>893</v>
      </c>
      <c r="AZ88" s="78" t="s">
        <v>913</v>
      </c>
      <c r="BA88" s="27" t="s">
        <v>928</v>
      </c>
      <c r="BC88" s="12">
        <f t="shared" si="37"/>
        <v>0</v>
      </c>
      <c r="BD88" s="12">
        <f t="shared" si="38"/>
        <v>0</v>
      </c>
      <c r="BE88" s="12">
        <v>0</v>
      </c>
      <c r="BF88" s="12">
        <f>88</f>
        <v>88</v>
      </c>
      <c r="BH88" s="26">
        <f t="shared" si="39"/>
        <v>0</v>
      </c>
      <c r="BI88" s="26">
        <f t="shared" si="40"/>
        <v>0</v>
      </c>
      <c r="BJ88" s="26">
        <f t="shared" si="41"/>
        <v>0</v>
      </c>
    </row>
    <row r="89" spans="1:62" x14ac:dyDescent="0.2">
      <c r="A89" s="18" t="s">
        <v>124</v>
      </c>
      <c r="B89" s="18" t="s">
        <v>7</v>
      </c>
      <c r="C89" s="18" t="s">
        <v>332</v>
      </c>
      <c r="D89" s="111" t="s">
        <v>579</v>
      </c>
      <c r="E89" s="112"/>
      <c r="F89" s="112"/>
      <c r="G89" s="112"/>
      <c r="H89" s="112"/>
      <c r="I89" s="18" t="s">
        <v>784</v>
      </c>
      <c r="J89" s="26">
        <v>3010</v>
      </c>
      <c r="K89" s="69">
        <v>0</v>
      </c>
      <c r="L89" s="26">
        <f t="shared" si="22"/>
        <v>0</v>
      </c>
      <c r="M89" s="32" t="s">
        <v>875</v>
      </c>
      <c r="Z89" s="12">
        <f t="shared" si="23"/>
        <v>0</v>
      </c>
      <c r="AB89" s="12">
        <f t="shared" si="24"/>
        <v>0</v>
      </c>
      <c r="AC89" s="12">
        <f t="shared" si="25"/>
        <v>0</v>
      </c>
      <c r="AD89" s="12">
        <f t="shared" si="26"/>
        <v>0</v>
      </c>
      <c r="AE89" s="12">
        <f t="shared" si="27"/>
        <v>0</v>
      </c>
      <c r="AF89" s="12">
        <f t="shared" si="28"/>
        <v>0</v>
      </c>
      <c r="AG89" s="12">
        <f t="shared" si="29"/>
        <v>0</v>
      </c>
      <c r="AH89" s="12">
        <f t="shared" si="30"/>
        <v>0</v>
      </c>
      <c r="AI89" s="27" t="s">
        <v>7</v>
      </c>
      <c r="AJ89" s="26">
        <f t="shared" si="31"/>
        <v>0</v>
      </c>
      <c r="AK89" s="26">
        <f t="shared" si="32"/>
        <v>0</v>
      </c>
      <c r="AL89" s="26">
        <f t="shared" si="33"/>
        <v>0</v>
      </c>
      <c r="AN89" s="12">
        <v>21</v>
      </c>
      <c r="AO89" s="12">
        <f>K89*0.0161616161616162</f>
        <v>0</v>
      </c>
      <c r="AP89" s="12">
        <f>K89*(1-0.0161616161616162)</f>
        <v>0</v>
      </c>
      <c r="AQ89" s="32" t="s">
        <v>85</v>
      </c>
      <c r="AV89" s="12">
        <f t="shared" si="34"/>
        <v>0</v>
      </c>
      <c r="AW89" s="12">
        <f t="shared" si="35"/>
        <v>0</v>
      </c>
      <c r="AX89" s="12">
        <f t="shared" si="36"/>
        <v>0</v>
      </c>
      <c r="AY89" s="78" t="s">
        <v>893</v>
      </c>
      <c r="AZ89" s="78" t="s">
        <v>913</v>
      </c>
      <c r="BA89" s="27" t="s">
        <v>928</v>
      </c>
      <c r="BC89" s="12">
        <f t="shared" si="37"/>
        <v>0</v>
      </c>
      <c r="BD89" s="12">
        <f t="shared" si="38"/>
        <v>0</v>
      </c>
      <c r="BE89" s="12">
        <v>0</v>
      </c>
      <c r="BF89" s="12">
        <f>89</f>
        <v>89</v>
      </c>
      <c r="BH89" s="26">
        <f t="shared" si="39"/>
        <v>0</v>
      </c>
      <c r="BI89" s="26">
        <f t="shared" si="40"/>
        <v>0</v>
      </c>
      <c r="BJ89" s="26">
        <f t="shared" si="41"/>
        <v>0</v>
      </c>
    </row>
    <row r="90" spans="1:62" x14ac:dyDescent="0.2">
      <c r="A90" s="18" t="s">
        <v>125</v>
      </c>
      <c r="B90" s="18" t="s">
        <v>7</v>
      </c>
      <c r="C90" s="18" t="s">
        <v>333</v>
      </c>
      <c r="D90" s="111" t="s">
        <v>580</v>
      </c>
      <c r="E90" s="112"/>
      <c r="F90" s="112"/>
      <c r="G90" s="112"/>
      <c r="H90" s="112"/>
      <c r="I90" s="18" t="s">
        <v>783</v>
      </c>
      <c r="J90" s="26">
        <v>759</v>
      </c>
      <c r="K90" s="69">
        <v>0</v>
      </c>
      <c r="L90" s="26">
        <f t="shared" si="22"/>
        <v>0</v>
      </c>
      <c r="M90" s="32" t="s">
        <v>875</v>
      </c>
      <c r="Z90" s="12">
        <f t="shared" si="23"/>
        <v>0</v>
      </c>
      <c r="AB90" s="12">
        <f t="shared" si="24"/>
        <v>0</v>
      </c>
      <c r="AC90" s="12">
        <f t="shared" si="25"/>
        <v>0</v>
      </c>
      <c r="AD90" s="12">
        <f t="shared" si="26"/>
        <v>0</v>
      </c>
      <c r="AE90" s="12">
        <f t="shared" si="27"/>
        <v>0</v>
      </c>
      <c r="AF90" s="12">
        <f t="shared" si="28"/>
        <v>0</v>
      </c>
      <c r="AG90" s="12">
        <f t="shared" si="29"/>
        <v>0</v>
      </c>
      <c r="AH90" s="12">
        <f t="shared" si="30"/>
        <v>0</v>
      </c>
      <c r="AI90" s="27" t="s">
        <v>7</v>
      </c>
      <c r="AJ90" s="26">
        <f t="shared" si="31"/>
        <v>0</v>
      </c>
      <c r="AK90" s="26">
        <f t="shared" si="32"/>
        <v>0</v>
      </c>
      <c r="AL90" s="26">
        <f t="shared" si="33"/>
        <v>0</v>
      </c>
      <c r="AN90" s="12">
        <v>21</v>
      </c>
      <c r="AO90" s="12">
        <f t="shared" ref="AO90:AO135" si="42">K90*0</f>
        <v>0</v>
      </c>
      <c r="AP90" s="12">
        <f t="shared" ref="AP90:AP135" si="43">K90*(1-0)</f>
        <v>0</v>
      </c>
      <c r="AQ90" s="32" t="s">
        <v>85</v>
      </c>
      <c r="AV90" s="12">
        <f t="shared" si="34"/>
        <v>0</v>
      </c>
      <c r="AW90" s="12">
        <f t="shared" si="35"/>
        <v>0</v>
      </c>
      <c r="AX90" s="12">
        <f t="shared" si="36"/>
        <v>0</v>
      </c>
      <c r="AY90" s="78" t="s">
        <v>893</v>
      </c>
      <c r="AZ90" s="78" t="s">
        <v>913</v>
      </c>
      <c r="BA90" s="27" t="s">
        <v>928</v>
      </c>
      <c r="BC90" s="12">
        <f t="shared" si="37"/>
        <v>0</v>
      </c>
      <c r="BD90" s="12">
        <f t="shared" si="38"/>
        <v>0</v>
      </c>
      <c r="BE90" s="12">
        <v>0</v>
      </c>
      <c r="BF90" s="12">
        <f>90</f>
        <v>90</v>
      </c>
      <c r="BH90" s="26">
        <f t="shared" si="39"/>
        <v>0</v>
      </c>
      <c r="BI90" s="26">
        <f t="shared" si="40"/>
        <v>0</v>
      </c>
      <c r="BJ90" s="26">
        <f t="shared" si="41"/>
        <v>0</v>
      </c>
    </row>
    <row r="91" spans="1:62" x14ac:dyDescent="0.2">
      <c r="A91" s="18" t="s">
        <v>126</v>
      </c>
      <c r="B91" s="18" t="s">
        <v>7</v>
      </c>
      <c r="C91" s="18" t="s">
        <v>334</v>
      </c>
      <c r="D91" s="111" t="s">
        <v>581</v>
      </c>
      <c r="E91" s="112"/>
      <c r="F91" s="112"/>
      <c r="G91" s="112"/>
      <c r="H91" s="112"/>
      <c r="I91" s="18" t="s">
        <v>784</v>
      </c>
      <c r="J91" s="26">
        <v>3010</v>
      </c>
      <c r="K91" s="69">
        <v>0</v>
      </c>
      <c r="L91" s="26">
        <f t="shared" si="22"/>
        <v>0</v>
      </c>
      <c r="M91" s="32" t="s">
        <v>874</v>
      </c>
      <c r="Z91" s="12">
        <f t="shared" si="23"/>
        <v>0</v>
      </c>
      <c r="AB91" s="12">
        <f t="shared" si="24"/>
        <v>0</v>
      </c>
      <c r="AC91" s="12">
        <f t="shared" si="25"/>
        <v>0</v>
      </c>
      <c r="AD91" s="12">
        <f t="shared" si="26"/>
        <v>0</v>
      </c>
      <c r="AE91" s="12">
        <f t="shared" si="27"/>
        <v>0</v>
      </c>
      <c r="AF91" s="12">
        <f t="shared" si="28"/>
        <v>0</v>
      </c>
      <c r="AG91" s="12">
        <f t="shared" si="29"/>
        <v>0</v>
      </c>
      <c r="AH91" s="12">
        <f t="shared" si="30"/>
        <v>0</v>
      </c>
      <c r="AI91" s="27" t="s">
        <v>7</v>
      </c>
      <c r="AJ91" s="26">
        <f t="shared" si="31"/>
        <v>0</v>
      </c>
      <c r="AK91" s="26">
        <f t="shared" si="32"/>
        <v>0</v>
      </c>
      <c r="AL91" s="26">
        <f t="shared" si="33"/>
        <v>0</v>
      </c>
      <c r="AN91" s="12">
        <v>21</v>
      </c>
      <c r="AO91" s="12">
        <f t="shared" si="42"/>
        <v>0</v>
      </c>
      <c r="AP91" s="12">
        <f t="shared" si="43"/>
        <v>0</v>
      </c>
      <c r="AQ91" s="32" t="s">
        <v>85</v>
      </c>
      <c r="AV91" s="12">
        <f t="shared" si="34"/>
        <v>0</v>
      </c>
      <c r="AW91" s="12">
        <f t="shared" si="35"/>
        <v>0</v>
      </c>
      <c r="AX91" s="12">
        <f t="shared" si="36"/>
        <v>0</v>
      </c>
      <c r="AY91" s="78" t="s">
        <v>893</v>
      </c>
      <c r="AZ91" s="78" t="s">
        <v>913</v>
      </c>
      <c r="BA91" s="27" t="s">
        <v>928</v>
      </c>
      <c r="BC91" s="12">
        <f t="shared" si="37"/>
        <v>0</v>
      </c>
      <c r="BD91" s="12">
        <f t="shared" si="38"/>
        <v>0</v>
      </c>
      <c r="BE91" s="12">
        <v>0</v>
      </c>
      <c r="BF91" s="12">
        <f>91</f>
        <v>91</v>
      </c>
      <c r="BH91" s="26">
        <f t="shared" si="39"/>
        <v>0</v>
      </c>
      <c r="BI91" s="26">
        <f t="shared" si="40"/>
        <v>0</v>
      </c>
      <c r="BJ91" s="26">
        <f t="shared" si="41"/>
        <v>0</v>
      </c>
    </row>
    <row r="92" spans="1:62" x14ac:dyDescent="0.2">
      <c r="A92" s="18" t="s">
        <v>127</v>
      </c>
      <c r="B92" s="18" t="s">
        <v>7</v>
      </c>
      <c r="C92" s="18" t="s">
        <v>335</v>
      </c>
      <c r="D92" s="111" t="s">
        <v>582</v>
      </c>
      <c r="E92" s="112"/>
      <c r="F92" s="112"/>
      <c r="G92" s="112"/>
      <c r="H92" s="112"/>
      <c r="I92" s="18" t="s">
        <v>789</v>
      </c>
      <c r="J92" s="26">
        <v>200</v>
      </c>
      <c r="K92" s="69">
        <v>0</v>
      </c>
      <c r="L92" s="26">
        <f t="shared" si="22"/>
        <v>0</v>
      </c>
      <c r="M92" s="32"/>
      <c r="Z92" s="12">
        <f t="shared" si="23"/>
        <v>0</v>
      </c>
      <c r="AB92" s="12">
        <f t="shared" si="24"/>
        <v>0</v>
      </c>
      <c r="AC92" s="12">
        <f t="shared" si="25"/>
        <v>0</v>
      </c>
      <c r="AD92" s="12">
        <f t="shared" si="26"/>
        <v>0</v>
      </c>
      <c r="AE92" s="12">
        <f t="shared" si="27"/>
        <v>0</v>
      </c>
      <c r="AF92" s="12">
        <f t="shared" si="28"/>
        <v>0</v>
      </c>
      <c r="AG92" s="12">
        <f t="shared" si="29"/>
        <v>0</v>
      </c>
      <c r="AH92" s="12">
        <f t="shared" si="30"/>
        <v>0</v>
      </c>
      <c r="AI92" s="27" t="s">
        <v>7</v>
      </c>
      <c r="AJ92" s="26">
        <f t="shared" si="31"/>
        <v>0</v>
      </c>
      <c r="AK92" s="26">
        <f t="shared" si="32"/>
        <v>0</v>
      </c>
      <c r="AL92" s="26">
        <f t="shared" si="33"/>
        <v>0</v>
      </c>
      <c r="AN92" s="12">
        <v>21</v>
      </c>
      <c r="AO92" s="12">
        <f t="shared" si="42"/>
        <v>0</v>
      </c>
      <c r="AP92" s="12">
        <f t="shared" si="43"/>
        <v>0</v>
      </c>
      <c r="AQ92" s="32" t="s">
        <v>85</v>
      </c>
      <c r="AV92" s="12">
        <f t="shared" si="34"/>
        <v>0</v>
      </c>
      <c r="AW92" s="12">
        <f t="shared" si="35"/>
        <v>0</v>
      </c>
      <c r="AX92" s="12">
        <f t="shared" si="36"/>
        <v>0</v>
      </c>
      <c r="AY92" s="78" t="s">
        <v>893</v>
      </c>
      <c r="AZ92" s="78" t="s">
        <v>913</v>
      </c>
      <c r="BA92" s="27" t="s">
        <v>928</v>
      </c>
      <c r="BC92" s="12">
        <f t="shared" si="37"/>
        <v>0</v>
      </c>
      <c r="BD92" s="12">
        <f t="shared" si="38"/>
        <v>0</v>
      </c>
      <c r="BE92" s="12">
        <v>0</v>
      </c>
      <c r="BF92" s="12">
        <f>92</f>
        <v>92</v>
      </c>
      <c r="BH92" s="26">
        <f t="shared" si="39"/>
        <v>0</v>
      </c>
      <c r="BI92" s="26">
        <f t="shared" si="40"/>
        <v>0</v>
      </c>
      <c r="BJ92" s="26">
        <f t="shared" si="41"/>
        <v>0</v>
      </c>
    </row>
    <row r="93" spans="1:62" x14ac:dyDescent="0.2">
      <c r="A93" s="18" t="s">
        <v>128</v>
      </c>
      <c r="B93" s="18" t="s">
        <v>7</v>
      </c>
      <c r="C93" s="18" t="s">
        <v>336</v>
      </c>
      <c r="D93" s="111" t="s">
        <v>583</v>
      </c>
      <c r="E93" s="112"/>
      <c r="F93" s="112"/>
      <c r="G93" s="112"/>
      <c r="H93" s="112"/>
      <c r="I93" s="18" t="s">
        <v>789</v>
      </c>
      <c r="J93" s="26">
        <v>180</v>
      </c>
      <c r="K93" s="69">
        <v>0</v>
      </c>
      <c r="L93" s="26">
        <f t="shared" si="22"/>
        <v>0</v>
      </c>
      <c r="M93" s="32"/>
      <c r="Z93" s="12">
        <f t="shared" si="23"/>
        <v>0</v>
      </c>
      <c r="AB93" s="12">
        <f t="shared" si="24"/>
        <v>0</v>
      </c>
      <c r="AC93" s="12">
        <f t="shared" si="25"/>
        <v>0</v>
      </c>
      <c r="AD93" s="12">
        <f t="shared" si="26"/>
        <v>0</v>
      </c>
      <c r="AE93" s="12">
        <f t="shared" si="27"/>
        <v>0</v>
      </c>
      <c r="AF93" s="12">
        <f t="shared" si="28"/>
        <v>0</v>
      </c>
      <c r="AG93" s="12">
        <f t="shared" si="29"/>
        <v>0</v>
      </c>
      <c r="AH93" s="12">
        <f t="shared" si="30"/>
        <v>0</v>
      </c>
      <c r="AI93" s="27" t="s">
        <v>7</v>
      </c>
      <c r="AJ93" s="26">
        <f t="shared" si="31"/>
        <v>0</v>
      </c>
      <c r="AK93" s="26">
        <f t="shared" si="32"/>
        <v>0</v>
      </c>
      <c r="AL93" s="26">
        <f t="shared" si="33"/>
        <v>0</v>
      </c>
      <c r="AN93" s="12">
        <v>21</v>
      </c>
      <c r="AO93" s="12">
        <f t="shared" si="42"/>
        <v>0</v>
      </c>
      <c r="AP93" s="12">
        <f t="shared" si="43"/>
        <v>0</v>
      </c>
      <c r="AQ93" s="32" t="s">
        <v>85</v>
      </c>
      <c r="AV93" s="12">
        <f t="shared" si="34"/>
        <v>0</v>
      </c>
      <c r="AW93" s="12">
        <f t="shared" si="35"/>
        <v>0</v>
      </c>
      <c r="AX93" s="12">
        <f t="shared" si="36"/>
        <v>0</v>
      </c>
      <c r="AY93" s="78" t="s">
        <v>893</v>
      </c>
      <c r="AZ93" s="78" t="s">
        <v>913</v>
      </c>
      <c r="BA93" s="27" t="s">
        <v>928</v>
      </c>
      <c r="BC93" s="12">
        <f t="shared" si="37"/>
        <v>0</v>
      </c>
      <c r="BD93" s="12">
        <f t="shared" si="38"/>
        <v>0</v>
      </c>
      <c r="BE93" s="12">
        <v>0</v>
      </c>
      <c r="BF93" s="12">
        <f>93</f>
        <v>93</v>
      </c>
      <c r="BH93" s="26">
        <f t="shared" si="39"/>
        <v>0</v>
      </c>
      <c r="BI93" s="26">
        <f t="shared" si="40"/>
        <v>0</v>
      </c>
      <c r="BJ93" s="26">
        <f t="shared" si="41"/>
        <v>0</v>
      </c>
    </row>
    <row r="94" spans="1:62" x14ac:dyDescent="0.2">
      <c r="A94" s="18" t="s">
        <v>129</v>
      </c>
      <c r="B94" s="18" t="s">
        <v>7</v>
      </c>
      <c r="C94" s="18" t="s">
        <v>337</v>
      </c>
      <c r="D94" s="111" t="s">
        <v>584</v>
      </c>
      <c r="E94" s="112"/>
      <c r="F94" s="112"/>
      <c r="G94" s="112"/>
      <c r="H94" s="112"/>
      <c r="I94" s="18" t="s">
        <v>789</v>
      </c>
      <c r="J94" s="26">
        <v>140</v>
      </c>
      <c r="K94" s="69">
        <v>0</v>
      </c>
      <c r="L94" s="26">
        <f t="shared" si="22"/>
        <v>0</v>
      </c>
      <c r="M94" s="32"/>
      <c r="Z94" s="12">
        <f t="shared" si="23"/>
        <v>0</v>
      </c>
      <c r="AB94" s="12">
        <f t="shared" si="24"/>
        <v>0</v>
      </c>
      <c r="AC94" s="12">
        <f t="shared" si="25"/>
        <v>0</v>
      </c>
      <c r="AD94" s="12">
        <f t="shared" si="26"/>
        <v>0</v>
      </c>
      <c r="AE94" s="12">
        <f t="shared" si="27"/>
        <v>0</v>
      </c>
      <c r="AF94" s="12">
        <f t="shared" si="28"/>
        <v>0</v>
      </c>
      <c r="AG94" s="12">
        <f t="shared" si="29"/>
        <v>0</v>
      </c>
      <c r="AH94" s="12">
        <f t="shared" si="30"/>
        <v>0</v>
      </c>
      <c r="AI94" s="27" t="s">
        <v>7</v>
      </c>
      <c r="AJ94" s="26">
        <f t="shared" si="31"/>
        <v>0</v>
      </c>
      <c r="AK94" s="26">
        <f t="shared" si="32"/>
        <v>0</v>
      </c>
      <c r="AL94" s="26">
        <f t="shared" si="33"/>
        <v>0</v>
      </c>
      <c r="AN94" s="12">
        <v>21</v>
      </c>
      <c r="AO94" s="12">
        <f t="shared" si="42"/>
        <v>0</v>
      </c>
      <c r="AP94" s="12">
        <f t="shared" si="43"/>
        <v>0</v>
      </c>
      <c r="AQ94" s="32" t="s">
        <v>85</v>
      </c>
      <c r="AV94" s="12">
        <f t="shared" si="34"/>
        <v>0</v>
      </c>
      <c r="AW94" s="12">
        <f t="shared" si="35"/>
        <v>0</v>
      </c>
      <c r="AX94" s="12">
        <f t="shared" si="36"/>
        <v>0</v>
      </c>
      <c r="AY94" s="78" t="s">
        <v>893</v>
      </c>
      <c r="AZ94" s="78" t="s">
        <v>913</v>
      </c>
      <c r="BA94" s="27" t="s">
        <v>928</v>
      </c>
      <c r="BC94" s="12">
        <f t="shared" si="37"/>
        <v>0</v>
      </c>
      <c r="BD94" s="12">
        <f t="shared" si="38"/>
        <v>0</v>
      </c>
      <c r="BE94" s="12">
        <v>0</v>
      </c>
      <c r="BF94" s="12">
        <f>94</f>
        <v>94</v>
      </c>
      <c r="BH94" s="26">
        <f t="shared" si="39"/>
        <v>0</v>
      </c>
      <c r="BI94" s="26">
        <f t="shared" si="40"/>
        <v>0</v>
      </c>
      <c r="BJ94" s="26">
        <f t="shared" si="41"/>
        <v>0</v>
      </c>
    </row>
    <row r="95" spans="1:62" x14ac:dyDescent="0.2">
      <c r="A95" s="18" t="s">
        <v>130</v>
      </c>
      <c r="B95" s="18" t="s">
        <v>7</v>
      </c>
      <c r="C95" s="18" t="s">
        <v>338</v>
      </c>
      <c r="D95" s="111" t="s">
        <v>585</v>
      </c>
      <c r="E95" s="112"/>
      <c r="F95" s="112"/>
      <c r="G95" s="112"/>
      <c r="H95" s="112"/>
      <c r="I95" s="18" t="s">
        <v>789</v>
      </c>
      <c r="J95" s="26">
        <v>160</v>
      </c>
      <c r="K95" s="69">
        <v>0</v>
      </c>
      <c r="L95" s="26">
        <f t="shared" si="22"/>
        <v>0</v>
      </c>
      <c r="M95" s="32"/>
      <c r="Z95" s="12">
        <f t="shared" si="23"/>
        <v>0</v>
      </c>
      <c r="AB95" s="12">
        <f t="shared" si="24"/>
        <v>0</v>
      </c>
      <c r="AC95" s="12">
        <f t="shared" si="25"/>
        <v>0</v>
      </c>
      <c r="AD95" s="12">
        <f t="shared" si="26"/>
        <v>0</v>
      </c>
      <c r="AE95" s="12">
        <f t="shared" si="27"/>
        <v>0</v>
      </c>
      <c r="AF95" s="12">
        <f t="shared" si="28"/>
        <v>0</v>
      </c>
      <c r="AG95" s="12">
        <f t="shared" si="29"/>
        <v>0</v>
      </c>
      <c r="AH95" s="12">
        <f t="shared" si="30"/>
        <v>0</v>
      </c>
      <c r="AI95" s="27" t="s">
        <v>7</v>
      </c>
      <c r="AJ95" s="26">
        <f t="shared" si="31"/>
        <v>0</v>
      </c>
      <c r="AK95" s="26">
        <f t="shared" si="32"/>
        <v>0</v>
      </c>
      <c r="AL95" s="26">
        <f t="shared" si="33"/>
        <v>0</v>
      </c>
      <c r="AN95" s="12">
        <v>21</v>
      </c>
      <c r="AO95" s="12">
        <f t="shared" si="42"/>
        <v>0</v>
      </c>
      <c r="AP95" s="12">
        <f t="shared" si="43"/>
        <v>0</v>
      </c>
      <c r="AQ95" s="32" t="s">
        <v>85</v>
      </c>
      <c r="AV95" s="12">
        <f t="shared" si="34"/>
        <v>0</v>
      </c>
      <c r="AW95" s="12">
        <f t="shared" si="35"/>
        <v>0</v>
      </c>
      <c r="AX95" s="12">
        <f t="shared" si="36"/>
        <v>0</v>
      </c>
      <c r="AY95" s="78" t="s">
        <v>893</v>
      </c>
      <c r="AZ95" s="78" t="s">
        <v>913</v>
      </c>
      <c r="BA95" s="27" t="s">
        <v>928</v>
      </c>
      <c r="BC95" s="12">
        <f t="shared" si="37"/>
        <v>0</v>
      </c>
      <c r="BD95" s="12">
        <f t="shared" si="38"/>
        <v>0</v>
      </c>
      <c r="BE95" s="12">
        <v>0</v>
      </c>
      <c r="BF95" s="12">
        <f>95</f>
        <v>95</v>
      </c>
      <c r="BH95" s="26">
        <f t="shared" si="39"/>
        <v>0</v>
      </c>
      <c r="BI95" s="26">
        <f t="shared" si="40"/>
        <v>0</v>
      </c>
      <c r="BJ95" s="26">
        <f t="shared" si="41"/>
        <v>0</v>
      </c>
    </row>
    <row r="96" spans="1:62" x14ac:dyDescent="0.2">
      <c r="A96" s="18" t="s">
        <v>23</v>
      </c>
      <c r="B96" s="18" t="s">
        <v>7</v>
      </c>
      <c r="C96" s="18" t="s">
        <v>339</v>
      </c>
      <c r="D96" s="111" t="s">
        <v>586</v>
      </c>
      <c r="E96" s="112"/>
      <c r="F96" s="112"/>
      <c r="G96" s="112"/>
      <c r="H96" s="112"/>
      <c r="I96" s="18" t="s">
        <v>789</v>
      </c>
      <c r="J96" s="26">
        <v>160</v>
      </c>
      <c r="K96" s="69">
        <v>0</v>
      </c>
      <c r="L96" s="26">
        <f t="shared" si="22"/>
        <v>0</v>
      </c>
      <c r="M96" s="32"/>
      <c r="Z96" s="12">
        <f t="shared" si="23"/>
        <v>0</v>
      </c>
      <c r="AB96" s="12">
        <f t="shared" si="24"/>
        <v>0</v>
      </c>
      <c r="AC96" s="12">
        <f t="shared" si="25"/>
        <v>0</v>
      </c>
      <c r="AD96" s="12">
        <f t="shared" si="26"/>
        <v>0</v>
      </c>
      <c r="AE96" s="12">
        <f t="shared" si="27"/>
        <v>0</v>
      </c>
      <c r="AF96" s="12">
        <f t="shared" si="28"/>
        <v>0</v>
      </c>
      <c r="AG96" s="12">
        <f t="shared" si="29"/>
        <v>0</v>
      </c>
      <c r="AH96" s="12">
        <f t="shared" si="30"/>
        <v>0</v>
      </c>
      <c r="AI96" s="27" t="s">
        <v>7</v>
      </c>
      <c r="AJ96" s="26">
        <f t="shared" si="31"/>
        <v>0</v>
      </c>
      <c r="AK96" s="26">
        <f t="shared" si="32"/>
        <v>0</v>
      </c>
      <c r="AL96" s="26">
        <f t="shared" si="33"/>
        <v>0</v>
      </c>
      <c r="AN96" s="12">
        <v>21</v>
      </c>
      <c r="AO96" s="12">
        <f t="shared" si="42"/>
        <v>0</v>
      </c>
      <c r="AP96" s="12">
        <f t="shared" si="43"/>
        <v>0</v>
      </c>
      <c r="AQ96" s="32" t="s">
        <v>85</v>
      </c>
      <c r="AV96" s="12">
        <f t="shared" si="34"/>
        <v>0</v>
      </c>
      <c r="AW96" s="12">
        <f t="shared" si="35"/>
        <v>0</v>
      </c>
      <c r="AX96" s="12">
        <f t="shared" si="36"/>
        <v>0</v>
      </c>
      <c r="AY96" s="78" t="s">
        <v>893</v>
      </c>
      <c r="AZ96" s="78" t="s">
        <v>913</v>
      </c>
      <c r="BA96" s="27" t="s">
        <v>928</v>
      </c>
      <c r="BC96" s="12">
        <f t="shared" si="37"/>
        <v>0</v>
      </c>
      <c r="BD96" s="12">
        <f t="shared" si="38"/>
        <v>0</v>
      </c>
      <c r="BE96" s="12">
        <v>0</v>
      </c>
      <c r="BF96" s="12">
        <f>96</f>
        <v>96</v>
      </c>
      <c r="BH96" s="26">
        <f t="shared" si="39"/>
        <v>0</v>
      </c>
      <c r="BI96" s="26">
        <f t="shared" si="40"/>
        <v>0</v>
      </c>
      <c r="BJ96" s="26">
        <f t="shared" si="41"/>
        <v>0</v>
      </c>
    </row>
    <row r="97" spans="1:62" x14ac:dyDescent="0.2">
      <c r="A97" s="18" t="s">
        <v>24</v>
      </c>
      <c r="B97" s="18" t="s">
        <v>7</v>
      </c>
      <c r="C97" s="18" t="s">
        <v>340</v>
      </c>
      <c r="D97" s="111" t="s">
        <v>587</v>
      </c>
      <c r="E97" s="112"/>
      <c r="F97" s="112"/>
      <c r="G97" s="112"/>
      <c r="H97" s="112"/>
      <c r="I97" s="18" t="s">
        <v>789</v>
      </c>
      <c r="J97" s="26">
        <v>200</v>
      </c>
      <c r="K97" s="69">
        <v>0</v>
      </c>
      <c r="L97" s="26">
        <f t="shared" si="22"/>
        <v>0</v>
      </c>
      <c r="M97" s="32"/>
      <c r="Z97" s="12">
        <f t="shared" si="23"/>
        <v>0</v>
      </c>
      <c r="AB97" s="12">
        <f t="shared" si="24"/>
        <v>0</v>
      </c>
      <c r="AC97" s="12">
        <f t="shared" si="25"/>
        <v>0</v>
      </c>
      <c r="AD97" s="12">
        <f t="shared" si="26"/>
        <v>0</v>
      </c>
      <c r="AE97" s="12">
        <f t="shared" si="27"/>
        <v>0</v>
      </c>
      <c r="AF97" s="12">
        <f t="shared" si="28"/>
        <v>0</v>
      </c>
      <c r="AG97" s="12">
        <f t="shared" si="29"/>
        <v>0</v>
      </c>
      <c r="AH97" s="12">
        <f t="shared" si="30"/>
        <v>0</v>
      </c>
      <c r="AI97" s="27" t="s">
        <v>7</v>
      </c>
      <c r="AJ97" s="26">
        <f t="shared" si="31"/>
        <v>0</v>
      </c>
      <c r="AK97" s="26">
        <f t="shared" si="32"/>
        <v>0</v>
      </c>
      <c r="AL97" s="26">
        <f t="shared" si="33"/>
        <v>0</v>
      </c>
      <c r="AN97" s="12">
        <v>21</v>
      </c>
      <c r="AO97" s="12">
        <f t="shared" si="42"/>
        <v>0</v>
      </c>
      <c r="AP97" s="12">
        <f t="shared" si="43"/>
        <v>0</v>
      </c>
      <c r="AQ97" s="32" t="s">
        <v>85</v>
      </c>
      <c r="AV97" s="12">
        <f t="shared" si="34"/>
        <v>0</v>
      </c>
      <c r="AW97" s="12">
        <f t="shared" si="35"/>
        <v>0</v>
      </c>
      <c r="AX97" s="12">
        <f t="shared" si="36"/>
        <v>0</v>
      </c>
      <c r="AY97" s="78" t="s">
        <v>893</v>
      </c>
      <c r="AZ97" s="78" t="s">
        <v>913</v>
      </c>
      <c r="BA97" s="27" t="s">
        <v>928</v>
      </c>
      <c r="BC97" s="12">
        <f t="shared" si="37"/>
        <v>0</v>
      </c>
      <c r="BD97" s="12">
        <f t="shared" si="38"/>
        <v>0</v>
      </c>
      <c r="BE97" s="12">
        <v>0</v>
      </c>
      <c r="BF97" s="12">
        <f>97</f>
        <v>97</v>
      </c>
      <c r="BH97" s="26">
        <f t="shared" si="39"/>
        <v>0</v>
      </c>
      <c r="BI97" s="26">
        <f t="shared" si="40"/>
        <v>0</v>
      </c>
      <c r="BJ97" s="26">
        <f t="shared" si="41"/>
        <v>0</v>
      </c>
    </row>
    <row r="98" spans="1:62" x14ac:dyDescent="0.2">
      <c r="A98" s="18" t="s">
        <v>131</v>
      </c>
      <c r="B98" s="18" t="s">
        <v>7</v>
      </c>
      <c r="C98" s="18" t="s">
        <v>341</v>
      </c>
      <c r="D98" s="111" t="s">
        <v>588</v>
      </c>
      <c r="E98" s="112"/>
      <c r="F98" s="112"/>
      <c r="G98" s="112"/>
      <c r="H98" s="112"/>
      <c r="I98" s="18" t="s">
        <v>789</v>
      </c>
      <c r="J98" s="26">
        <v>80</v>
      </c>
      <c r="K98" s="69">
        <v>0</v>
      </c>
      <c r="L98" s="26">
        <f t="shared" si="22"/>
        <v>0</v>
      </c>
      <c r="M98" s="32"/>
      <c r="Z98" s="12">
        <f t="shared" si="23"/>
        <v>0</v>
      </c>
      <c r="AB98" s="12">
        <f t="shared" si="24"/>
        <v>0</v>
      </c>
      <c r="AC98" s="12">
        <f t="shared" si="25"/>
        <v>0</v>
      </c>
      <c r="AD98" s="12">
        <f t="shared" si="26"/>
        <v>0</v>
      </c>
      <c r="AE98" s="12">
        <f t="shared" si="27"/>
        <v>0</v>
      </c>
      <c r="AF98" s="12">
        <f t="shared" si="28"/>
        <v>0</v>
      </c>
      <c r="AG98" s="12">
        <f t="shared" si="29"/>
        <v>0</v>
      </c>
      <c r="AH98" s="12">
        <f t="shared" si="30"/>
        <v>0</v>
      </c>
      <c r="AI98" s="27" t="s">
        <v>7</v>
      </c>
      <c r="AJ98" s="26">
        <f t="shared" si="31"/>
        <v>0</v>
      </c>
      <c r="AK98" s="26">
        <f t="shared" si="32"/>
        <v>0</v>
      </c>
      <c r="AL98" s="26">
        <f t="shared" si="33"/>
        <v>0</v>
      </c>
      <c r="AN98" s="12">
        <v>21</v>
      </c>
      <c r="AO98" s="12">
        <f t="shared" si="42"/>
        <v>0</v>
      </c>
      <c r="AP98" s="12">
        <f t="shared" si="43"/>
        <v>0</v>
      </c>
      <c r="AQ98" s="32" t="s">
        <v>85</v>
      </c>
      <c r="AV98" s="12">
        <f t="shared" si="34"/>
        <v>0</v>
      </c>
      <c r="AW98" s="12">
        <f t="shared" si="35"/>
        <v>0</v>
      </c>
      <c r="AX98" s="12">
        <f t="shared" si="36"/>
        <v>0</v>
      </c>
      <c r="AY98" s="78" t="s">
        <v>893</v>
      </c>
      <c r="AZ98" s="78" t="s">
        <v>913</v>
      </c>
      <c r="BA98" s="27" t="s">
        <v>928</v>
      </c>
      <c r="BC98" s="12">
        <f t="shared" si="37"/>
        <v>0</v>
      </c>
      <c r="BD98" s="12">
        <f t="shared" si="38"/>
        <v>0</v>
      </c>
      <c r="BE98" s="12">
        <v>0</v>
      </c>
      <c r="BF98" s="12">
        <f>98</f>
        <v>98</v>
      </c>
      <c r="BH98" s="26">
        <f t="shared" si="39"/>
        <v>0</v>
      </c>
      <c r="BI98" s="26">
        <f t="shared" si="40"/>
        <v>0</v>
      </c>
      <c r="BJ98" s="26">
        <f t="shared" si="41"/>
        <v>0</v>
      </c>
    </row>
    <row r="99" spans="1:62" x14ac:dyDescent="0.2">
      <c r="A99" s="18" t="s">
        <v>25</v>
      </c>
      <c r="B99" s="18" t="s">
        <v>7</v>
      </c>
      <c r="C99" s="18" t="s">
        <v>342</v>
      </c>
      <c r="D99" s="111" t="s">
        <v>589</v>
      </c>
      <c r="E99" s="112"/>
      <c r="F99" s="112"/>
      <c r="G99" s="112"/>
      <c r="H99" s="112"/>
      <c r="I99" s="18" t="s">
        <v>789</v>
      </c>
      <c r="J99" s="26">
        <v>100</v>
      </c>
      <c r="K99" s="69">
        <v>0</v>
      </c>
      <c r="L99" s="26">
        <f t="shared" si="22"/>
        <v>0</v>
      </c>
      <c r="M99" s="32"/>
      <c r="Z99" s="12">
        <f t="shared" si="23"/>
        <v>0</v>
      </c>
      <c r="AB99" s="12">
        <f t="shared" si="24"/>
        <v>0</v>
      </c>
      <c r="AC99" s="12">
        <f t="shared" si="25"/>
        <v>0</v>
      </c>
      <c r="AD99" s="12">
        <f t="shared" si="26"/>
        <v>0</v>
      </c>
      <c r="AE99" s="12">
        <f t="shared" si="27"/>
        <v>0</v>
      </c>
      <c r="AF99" s="12">
        <f t="shared" si="28"/>
        <v>0</v>
      </c>
      <c r="AG99" s="12">
        <f t="shared" si="29"/>
        <v>0</v>
      </c>
      <c r="AH99" s="12">
        <f t="shared" si="30"/>
        <v>0</v>
      </c>
      <c r="AI99" s="27" t="s">
        <v>7</v>
      </c>
      <c r="AJ99" s="26">
        <f t="shared" si="31"/>
        <v>0</v>
      </c>
      <c r="AK99" s="26">
        <f t="shared" si="32"/>
        <v>0</v>
      </c>
      <c r="AL99" s="26">
        <f t="shared" si="33"/>
        <v>0</v>
      </c>
      <c r="AN99" s="12">
        <v>21</v>
      </c>
      <c r="AO99" s="12">
        <f t="shared" si="42"/>
        <v>0</v>
      </c>
      <c r="AP99" s="12">
        <f t="shared" si="43"/>
        <v>0</v>
      </c>
      <c r="AQ99" s="32" t="s">
        <v>85</v>
      </c>
      <c r="AV99" s="12">
        <f t="shared" si="34"/>
        <v>0</v>
      </c>
      <c r="AW99" s="12">
        <f t="shared" si="35"/>
        <v>0</v>
      </c>
      <c r="AX99" s="12">
        <f t="shared" si="36"/>
        <v>0</v>
      </c>
      <c r="AY99" s="78" t="s">
        <v>893</v>
      </c>
      <c r="AZ99" s="78" t="s">
        <v>913</v>
      </c>
      <c r="BA99" s="27" t="s">
        <v>928</v>
      </c>
      <c r="BC99" s="12">
        <f t="shared" si="37"/>
        <v>0</v>
      </c>
      <c r="BD99" s="12">
        <f t="shared" si="38"/>
        <v>0</v>
      </c>
      <c r="BE99" s="12">
        <v>0</v>
      </c>
      <c r="BF99" s="12">
        <f>99</f>
        <v>99</v>
      </c>
      <c r="BH99" s="26">
        <f t="shared" si="39"/>
        <v>0</v>
      </c>
      <c r="BI99" s="26">
        <f t="shared" si="40"/>
        <v>0</v>
      </c>
      <c r="BJ99" s="26">
        <f t="shared" si="41"/>
        <v>0</v>
      </c>
    </row>
    <row r="100" spans="1:62" x14ac:dyDescent="0.2">
      <c r="A100" s="18" t="s">
        <v>132</v>
      </c>
      <c r="B100" s="18" t="s">
        <v>7</v>
      </c>
      <c r="C100" s="18" t="s">
        <v>343</v>
      </c>
      <c r="D100" s="111" t="s">
        <v>590</v>
      </c>
      <c r="E100" s="112"/>
      <c r="F100" s="112"/>
      <c r="G100" s="112"/>
      <c r="H100" s="112"/>
      <c r="I100" s="18" t="s">
        <v>789</v>
      </c>
      <c r="J100" s="26">
        <v>60</v>
      </c>
      <c r="K100" s="69">
        <v>0</v>
      </c>
      <c r="L100" s="26">
        <f t="shared" si="22"/>
        <v>0</v>
      </c>
      <c r="M100" s="32"/>
      <c r="Z100" s="12">
        <f t="shared" si="23"/>
        <v>0</v>
      </c>
      <c r="AB100" s="12">
        <f t="shared" si="24"/>
        <v>0</v>
      </c>
      <c r="AC100" s="12">
        <f t="shared" si="25"/>
        <v>0</v>
      </c>
      <c r="AD100" s="12">
        <f t="shared" si="26"/>
        <v>0</v>
      </c>
      <c r="AE100" s="12">
        <f t="shared" si="27"/>
        <v>0</v>
      </c>
      <c r="AF100" s="12">
        <f t="shared" si="28"/>
        <v>0</v>
      </c>
      <c r="AG100" s="12">
        <f t="shared" si="29"/>
        <v>0</v>
      </c>
      <c r="AH100" s="12">
        <f t="shared" si="30"/>
        <v>0</v>
      </c>
      <c r="AI100" s="27" t="s">
        <v>7</v>
      </c>
      <c r="AJ100" s="26">
        <f t="shared" si="31"/>
        <v>0</v>
      </c>
      <c r="AK100" s="26">
        <f t="shared" si="32"/>
        <v>0</v>
      </c>
      <c r="AL100" s="26">
        <f t="shared" si="33"/>
        <v>0</v>
      </c>
      <c r="AN100" s="12">
        <v>21</v>
      </c>
      <c r="AO100" s="12">
        <f t="shared" si="42"/>
        <v>0</v>
      </c>
      <c r="AP100" s="12">
        <f t="shared" si="43"/>
        <v>0</v>
      </c>
      <c r="AQ100" s="32" t="s">
        <v>85</v>
      </c>
      <c r="AV100" s="12">
        <f t="shared" si="34"/>
        <v>0</v>
      </c>
      <c r="AW100" s="12">
        <f t="shared" si="35"/>
        <v>0</v>
      </c>
      <c r="AX100" s="12">
        <f t="shared" si="36"/>
        <v>0</v>
      </c>
      <c r="AY100" s="78" t="s">
        <v>893</v>
      </c>
      <c r="AZ100" s="78" t="s">
        <v>913</v>
      </c>
      <c r="BA100" s="27" t="s">
        <v>928</v>
      </c>
      <c r="BC100" s="12">
        <f t="shared" si="37"/>
        <v>0</v>
      </c>
      <c r="BD100" s="12">
        <f t="shared" si="38"/>
        <v>0</v>
      </c>
      <c r="BE100" s="12">
        <v>0</v>
      </c>
      <c r="BF100" s="12">
        <f>100</f>
        <v>100</v>
      </c>
      <c r="BH100" s="26">
        <f t="shared" si="39"/>
        <v>0</v>
      </c>
      <c r="BI100" s="26">
        <f t="shared" si="40"/>
        <v>0</v>
      </c>
      <c r="BJ100" s="26">
        <f t="shared" si="41"/>
        <v>0</v>
      </c>
    </row>
    <row r="101" spans="1:62" x14ac:dyDescent="0.2">
      <c r="A101" s="18" t="s">
        <v>133</v>
      </c>
      <c r="B101" s="18" t="s">
        <v>7</v>
      </c>
      <c r="C101" s="18" t="s">
        <v>344</v>
      </c>
      <c r="D101" s="111" t="s">
        <v>591</v>
      </c>
      <c r="E101" s="112"/>
      <c r="F101" s="112"/>
      <c r="G101" s="112"/>
      <c r="H101" s="112"/>
      <c r="I101" s="18" t="s">
        <v>789</v>
      </c>
      <c r="J101" s="26">
        <v>195</v>
      </c>
      <c r="K101" s="69">
        <v>0</v>
      </c>
      <c r="L101" s="26">
        <f t="shared" si="22"/>
        <v>0</v>
      </c>
      <c r="M101" s="32"/>
      <c r="Z101" s="12">
        <f t="shared" si="23"/>
        <v>0</v>
      </c>
      <c r="AB101" s="12">
        <f t="shared" si="24"/>
        <v>0</v>
      </c>
      <c r="AC101" s="12">
        <f t="shared" si="25"/>
        <v>0</v>
      </c>
      <c r="AD101" s="12">
        <f t="shared" si="26"/>
        <v>0</v>
      </c>
      <c r="AE101" s="12">
        <f t="shared" si="27"/>
        <v>0</v>
      </c>
      <c r="AF101" s="12">
        <f t="shared" si="28"/>
        <v>0</v>
      </c>
      <c r="AG101" s="12">
        <f t="shared" si="29"/>
        <v>0</v>
      </c>
      <c r="AH101" s="12">
        <f t="shared" si="30"/>
        <v>0</v>
      </c>
      <c r="AI101" s="27" t="s">
        <v>7</v>
      </c>
      <c r="AJ101" s="26">
        <f t="shared" si="31"/>
        <v>0</v>
      </c>
      <c r="AK101" s="26">
        <f t="shared" si="32"/>
        <v>0</v>
      </c>
      <c r="AL101" s="26">
        <f t="shared" si="33"/>
        <v>0</v>
      </c>
      <c r="AN101" s="12">
        <v>21</v>
      </c>
      <c r="AO101" s="12">
        <f t="shared" si="42"/>
        <v>0</v>
      </c>
      <c r="AP101" s="12">
        <f t="shared" si="43"/>
        <v>0</v>
      </c>
      <c r="AQ101" s="32" t="s">
        <v>85</v>
      </c>
      <c r="AV101" s="12">
        <f t="shared" si="34"/>
        <v>0</v>
      </c>
      <c r="AW101" s="12">
        <f t="shared" si="35"/>
        <v>0</v>
      </c>
      <c r="AX101" s="12">
        <f t="shared" si="36"/>
        <v>0</v>
      </c>
      <c r="AY101" s="78" t="s">
        <v>893</v>
      </c>
      <c r="AZ101" s="78" t="s">
        <v>913</v>
      </c>
      <c r="BA101" s="27" t="s">
        <v>928</v>
      </c>
      <c r="BC101" s="12">
        <f t="shared" si="37"/>
        <v>0</v>
      </c>
      <c r="BD101" s="12">
        <f t="shared" si="38"/>
        <v>0</v>
      </c>
      <c r="BE101" s="12">
        <v>0</v>
      </c>
      <c r="BF101" s="12">
        <f>101</f>
        <v>101</v>
      </c>
      <c r="BH101" s="26">
        <f t="shared" si="39"/>
        <v>0</v>
      </c>
      <c r="BI101" s="26">
        <f t="shared" si="40"/>
        <v>0</v>
      </c>
      <c r="BJ101" s="26">
        <f t="shared" si="41"/>
        <v>0</v>
      </c>
    </row>
    <row r="102" spans="1:62" x14ac:dyDescent="0.2">
      <c r="A102" s="18" t="s">
        <v>134</v>
      </c>
      <c r="B102" s="18" t="s">
        <v>7</v>
      </c>
      <c r="C102" s="18" t="s">
        <v>345</v>
      </c>
      <c r="D102" s="111" t="s">
        <v>592</v>
      </c>
      <c r="E102" s="112"/>
      <c r="F102" s="112"/>
      <c r="G102" s="112"/>
      <c r="H102" s="112"/>
      <c r="I102" s="18" t="s">
        <v>789</v>
      </c>
      <c r="J102" s="26">
        <v>130</v>
      </c>
      <c r="K102" s="69">
        <v>0</v>
      </c>
      <c r="L102" s="26">
        <f t="shared" si="22"/>
        <v>0</v>
      </c>
      <c r="M102" s="32"/>
      <c r="Z102" s="12">
        <f t="shared" si="23"/>
        <v>0</v>
      </c>
      <c r="AB102" s="12">
        <f t="shared" si="24"/>
        <v>0</v>
      </c>
      <c r="AC102" s="12">
        <f t="shared" si="25"/>
        <v>0</v>
      </c>
      <c r="AD102" s="12">
        <f t="shared" si="26"/>
        <v>0</v>
      </c>
      <c r="AE102" s="12">
        <f t="shared" si="27"/>
        <v>0</v>
      </c>
      <c r="AF102" s="12">
        <f t="shared" si="28"/>
        <v>0</v>
      </c>
      <c r="AG102" s="12">
        <f t="shared" si="29"/>
        <v>0</v>
      </c>
      <c r="AH102" s="12">
        <f t="shared" si="30"/>
        <v>0</v>
      </c>
      <c r="AI102" s="27" t="s">
        <v>7</v>
      </c>
      <c r="AJ102" s="26">
        <f t="shared" si="31"/>
        <v>0</v>
      </c>
      <c r="AK102" s="26">
        <f t="shared" si="32"/>
        <v>0</v>
      </c>
      <c r="AL102" s="26">
        <f t="shared" si="33"/>
        <v>0</v>
      </c>
      <c r="AN102" s="12">
        <v>21</v>
      </c>
      <c r="AO102" s="12">
        <f t="shared" si="42"/>
        <v>0</v>
      </c>
      <c r="AP102" s="12">
        <f t="shared" si="43"/>
        <v>0</v>
      </c>
      <c r="AQ102" s="32" t="s">
        <v>85</v>
      </c>
      <c r="AV102" s="12">
        <f t="shared" si="34"/>
        <v>0</v>
      </c>
      <c r="AW102" s="12">
        <f t="shared" si="35"/>
        <v>0</v>
      </c>
      <c r="AX102" s="12">
        <f t="shared" si="36"/>
        <v>0</v>
      </c>
      <c r="AY102" s="78" t="s">
        <v>893</v>
      </c>
      <c r="AZ102" s="78" t="s">
        <v>913</v>
      </c>
      <c r="BA102" s="27" t="s">
        <v>928</v>
      </c>
      <c r="BC102" s="12">
        <f t="shared" si="37"/>
        <v>0</v>
      </c>
      <c r="BD102" s="12">
        <f t="shared" si="38"/>
        <v>0</v>
      </c>
      <c r="BE102" s="12">
        <v>0</v>
      </c>
      <c r="BF102" s="12">
        <f>102</f>
        <v>102</v>
      </c>
      <c r="BH102" s="26">
        <f t="shared" si="39"/>
        <v>0</v>
      </c>
      <c r="BI102" s="26">
        <f t="shared" si="40"/>
        <v>0</v>
      </c>
      <c r="BJ102" s="26">
        <f t="shared" si="41"/>
        <v>0</v>
      </c>
    </row>
    <row r="103" spans="1:62" x14ac:dyDescent="0.2">
      <c r="A103" s="18" t="s">
        <v>26</v>
      </c>
      <c r="B103" s="18" t="s">
        <v>7</v>
      </c>
      <c r="C103" s="18" t="s">
        <v>346</v>
      </c>
      <c r="D103" s="111" t="s">
        <v>593</v>
      </c>
      <c r="E103" s="112"/>
      <c r="F103" s="112"/>
      <c r="G103" s="112"/>
      <c r="H103" s="112"/>
      <c r="I103" s="18" t="s">
        <v>789</v>
      </c>
      <c r="J103" s="26">
        <v>390</v>
      </c>
      <c r="K103" s="69">
        <v>0</v>
      </c>
      <c r="L103" s="26">
        <f t="shared" si="22"/>
        <v>0</v>
      </c>
      <c r="M103" s="32"/>
      <c r="Z103" s="12">
        <f t="shared" si="23"/>
        <v>0</v>
      </c>
      <c r="AB103" s="12">
        <f t="shared" si="24"/>
        <v>0</v>
      </c>
      <c r="AC103" s="12">
        <f t="shared" si="25"/>
        <v>0</v>
      </c>
      <c r="AD103" s="12">
        <f t="shared" si="26"/>
        <v>0</v>
      </c>
      <c r="AE103" s="12">
        <f t="shared" si="27"/>
        <v>0</v>
      </c>
      <c r="AF103" s="12">
        <f t="shared" si="28"/>
        <v>0</v>
      </c>
      <c r="AG103" s="12">
        <f t="shared" si="29"/>
        <v>0</v>
      </c>
      <c r="AH103" s="12">
        <f t="shared" si="30"/>
        <v>0</v>
      </c>
      <c r="AI103" s="27" t="s">
        <v>7</v>
      </c>
      <c r="AJ103" s="26">
        <f t="shared" si="31"/>
        <v>0</v>
      </c>
      <c r="AK103" s="26">
        <f t="shared" si="32"/>
        <v>0</v>
      </c>
      <c r="AL103" s="26">
        <f t="shared" si="33"/>
        <v>0</v>
      </c>
      <c r="AN103" s="12">
        <v>21</v>
      </c>
      <c r="AO103" s="12">
        <f t="shared" si="42"/>
        <v>0</v>
      </c>
      <c r="AP103" s="12">
        <f t="shared" si="43"/>
        <v>0</v>
      </c>
      <c r="AQ103" s="32" t="s">
        <v>85</v>
      </c>
      <c r="AV103" s="12">
        <f t="shared" si="34"/>
        <v>0</v>
      </c>
      <c r="AW103" s="12">
        <f t="shared" si="35"/>
        <v>0</v>
      </c>
      <c r="AX103" s="12">
        <f t="shared" si="36"/>
        <v>0</v>
      </c>
      <c r="AY103" s="78" t="s">
        <v>893</v>
      </c>
      <c r="AZ103" s="78" t="s">
        <v>913</v>
      </c>
      <c r="BA103" s="27" t="s">
        <v>928</v>
      </c>
      <c r="BC103" s="12">
        <f t="shared" si="37"/>
        <v>0</v>
      </c>
      <c r="BD103" s="12">
        <f t="shared" si="38"/>
        <v>0</v>
      </c>
      <c r="BE103" s="12">
        <v>0</v>
      </c>
      <c r="BF103" s="12">
        <f>103</f>
        <v>103</v>
      </c>
      <c r="BH103" s="26">
        <f t="shared" si="39"/>
        <v>0</v>
      </c>
      <c r="BI103" s="26">
        <f t="shared" si="40"/>
        <v>0</v>
      </c>
      <c r="BJ103" s="26">
        <f t="shared" si="41"/>
        <v>0</v>
      </c>
    </row>
    <row r="104" spans="1:62" x14ac:dyDescent="0.2">
      <c r="A104" s="18" t="s">
        <v>135</v>
      </c>
      <c r="B104" s="18" t="s">
        <v>7</v>
      </c>
      <c r="C104" s="18" t="s">
        <v>347</v>
      </c>
      <c r="D104" s="111" t="s">
        <v>594</v>
      </c>
      <c r="E104" s="112"/>
      <c r="F104" s="112"/>
      <c r="G104" s="112"/>
      <c r="H104" s="112"/>
      <c r="I104" s="18" t="s">
        <v>789</v>
      </c>
      <c r="J104" s="26">
        <v>250</v>
      </c>
      <c r="K104" s="69">
        <v>0</v>
      </c>
      <c r="L104" s="26">
        <f t="shared" si="22"/>
        <v>0</v>
      </c>
      <c r="M104" s="32"/>
      <c r="Z104" s="12">
        <f t="shared" si="23"/>
        <v>0</v>
      </c>
      <c r="AB104" s="12">
        <f t="shared" si="24"/>
        <v>0</v>
      </c>
      <c r="AC104" s="12">
        <f t="shared" si="25"/>
        <v>0</v>
      </c>
      <c r="AD104" s="12">
        <f t="shared" si="26"/>
        <v>0</v>
      </c>
      <c r="AE104" s="12">
        <f t="shared" si="27"/>
        <v>0</v>
      </c>
      <c r="AF104" s="12">
        <f t="shared" si="28"/>
        <v>0</v>
      </c>
      <c r="AG104" s="12">
        <f t="shared" si="29"/>
        <v>0</v>
      </c>
      <c r="AH104" s="12">
        <f t="shared" si="30"/>
        <v>0</v>
      </c>
      <c r="AI104" s="27" t="s">
        <v>7</v>
      </c>
      <c r="AJ104" s="26">
        <f t="shared" si="31"/>
        <v>0</v>
      </c>
      <c r="AK104" s="26">
        <f t="shared" si="32"/>
        <v>0</v>
      </c>
      <c r="AL104" s="26">
        <f t="shared" si="33"/>
        <v>0</v>
      </c>
      <c r="AN104" s="12">
        <v>21</v>
      </c>
      <c r="AO104" s="12">
        <f t="shared" si="42"/>
        <v>0</v>
      </c>
      <c r="AP104" s="12">
        <f t="shared" si="43"/>
        <v>0</v>
      </c>
      <c r="AQ104" s="32" t="s">
        <v>85</v>
      </c>
      <c r="AV104" s="12">
        <f t="shared" si="34"/>
        <v>0</v>
      </c>
      <c r="AW104" s="12">
        <f t="shared" si="35"/>
        <v>0</v>
      </c>
      <c r="AX104" s="12">
        <f t="shared" si="36"/>
        <v>0</v>
      </c>
      <c r="AY104" s="78" t="s">
        <v>893</v>
      </c>
      <c r="AZ104" s="78" t="s">
        <v>913</v>
      </c>
      <c r="BA104" s="27" t="s">
        <v>928</v>
      </c>
      <c r="BC104" s="12">
        <f t="shared" si="37"/>
        <v>0</v>
      </c>
      <c r="BD104" s="12">
        <f t="shared" si="38"/>
        <v>0</v>
      </c>
      <c r="BE104" s="12">
        <v>0</v>
      </c>
      <c r="BF104" s="12">
        <f>104</f>
        <v>104</v>
      </c>
      <c r="BH104" s="26">
        <f t="shared" si="39"/>
        <v>0</v>
      </c>
      <c r="BI104" s="26">
        <f t="shared" si="40"/>
        <v>0</v>
      </c>
      <c r="BJ104" s="26">
        <f t="shared" si="41"/>
        <v>0</v>
      </c>
    </row>
    <row r="105" spans="1:62" x14ac:dyDescent="0.2">
      <c r="A105" s="18" t="s">
        <v>136</v>
      </c>
      <c r="B105" s="18" t="s">
        <v>7</v>
      </c>
      <c r="C105" s="18" t="s">
        <v>347</v>
      </c>
      <c r="D105" s="111" t="s">
        <v>595</v>
      </c>
      <c r="E105" s="112"/>
      <c r="F105" s="112"/>
      <c r="G105" s="112"/>
      <c r="H105" s="112"/>
      <c r="I105" s="18" t="s">
        <v>789</v>
      </c>
      <c r="J105" s="26">
        <v>30</v>
      </c>
      <c r="K105" s="69">
        <v>0</v>
      </c>
      <c r="L105" s="26">
        <f t="shared" si="22"/>
        <v>0</v>
      </c>
      <c r="M105" s="32"/>
      <c r="Z105" s="12">
        <f t="shared" si="23"/>
        <v>0</v>
      </c>
      <c r="AB105" s="12">
        <f t="shared" si="24"/>
        <v>0</v>
      </c>
      <c r="AC105" s="12">
        <f t="shared" si="25"/>
        <v>0</v>
      </c>
      <c r="AD105" s="12">
        <f t="shared" si="26"/>
        <v>0</v>
      </c>
      <c r="AE105" s="12">
        <f t="shared" si="27"/>
        <v>0</v>
      </c>
      <c r="AF105" s="12">
        <f t="shared" si="28"/>
        <v>0</v>
      </c>
      <c r="AG105" s="12">
        <f t="shared" si="29"/>
        <v>0</v>
      </c>
      <c r="AH105" s="12">
        <f t="shared" si="30"/>
        <v>0</v>
      </c>
      <c r="AI105" s="27" t="s">
        <v>7</v>
      </c>
      <c r="AJ105" s="26">
        <f t="shared" si="31"/>
        <v>0</v>
      </c>
      <c r="AK105" s="26">
        <f t="shared" si="32"/>
        <v>0</v>
      </c>
      <c r="AL105" s="26">
        <f t="shared" si="33"/>
        <v>0</v>
      </c>
      <c r="AN105" s="12">
        <v>21</v>
      </c>
      <c r="AO105" s="12">
        <f t="shared" si="42"/>
        <v>0</v>
      </c>
      <c r="AP105" s="12">
        <f t="shared" si="43"/>
        <v>0</v>
      </c>
      <c r="AQ105" s="32" t="s">
        <v>85</v>
      </c>
      <c r="AV105" s="12">
        <f t="shared" si="34"/>
        <v>0</v>
      </c>
      <c r="AW105" s="12">
        <f t="shared" si="35"/>
        <v>0</v>
      </c>
      <c r="AX105" s="12">
        <f t="shared" si="36"/>
        <v>0</v>
      </c>
      <c r="AY105" s="78" t="s">
        <v>893</v>
      </c>
      <c r="AZ105" s="78" t="s">
        <v>913</v>
      </c>
      <c r="BA105" s="27" t="s">
        <v>928</v>
      </c>
      <c r="BC105" s="12">
        <f t="shared" si="37"/>
        <v>0</v>
      </c>
      <c r="BD105" s="12">
        <f t="shared" si="38"/>
        <v>0</v>
      </c>
      <c r="BE105" s="12">
        <v>0</v>
      </c>
      <c r="BF105" s="12">
        <f>105</f>
        <v>105</v>
      </c>
      <c r="BH105" s="26">
        <f t="shared" si="39"/>
        <v>0</v>
      </c>
      <c r="BI105" s="26">
        <f t="shared" si="40"/>
        <v>0</v>
      </c>
      <c r="BJ105" s="26">
        <f t="shared" si="41"/>
        <v>0</v>
      </c>
    </row>
    <row r="106" spans="1:62" x14ac:dyDescent="0.2">
      <c r="A106" s="18" t="s">
        <v>137</v>
      </c>
      <c r="B106" s="18" t="s">
        <v>7</v>
      </c>
      <c r="C106" s="18" t="s">
        <v>348</v>
      </c>
      <c r="D106" s="111" t="s">
        <v>596</v>
      </c>
      <c r="E106" s="112"/>
      <c r="F106" s="112"/>
      <c r="G106" s="112"/>
      <c r="H106" s="112"/>
      <c r="I106" s="18" t="s">
        <v>789</v>
      </c>
      <c r="J106" s="26">
        <v>30</v>
      </c>
      <c r="K106" s="69">
        <v>0</v>
      </c>
      <c r="L106" s="26">
        <f t="shared" si="22"/>
        <v>0</v>
      </c>
      <c r="M106" s="32"/>
      <c r="Z106" s="12">
        <f t="shared" si="23"/>
        <v>0</v>
      </c>
      <c r="AB106" s="12">
        <f t="shared" si="24"/>
        <v>0</v>
      </c>
      <c r="AC106" s="12">
        <f t="shared" si="25"/>
        <v>0</v>
      </c>
      <c r="AD106" s="12">
        <f t="shared" si="26"/>
        <v>0</v>
      </c>
      <c r="AE106" s="12">
        <f t="shared" si="27"/>
        <v>0</v>
      </c>
      <c r="AF106" s="12">
        <f t="shared" si="28"/>
        <v>0</v>
      </c>
      <c r="AG106" s="12">
        <f t="shared" si="29"/>
        <v>0</v>
      </c>
      <c r="AH106" s="12">
        <f t="shared" si="30"/>
        <v>0</v>
      </c>
      <c r="AI106" s="27" t="s">
        <v>7</v>
      </c>
      <c r="AJ106" s="26">
        <f t="shared" si="31"/>
        <v>0</v>
      </c>
      <c r="AK106" s="26">
        <f t="shared" si="32"/>
        <v>0</v>
      </c>
      <c r="AL106" s="26">
        <f t="shared" si="33"/>
        <v>0</v>
      </c>
      <c r="AN106" s="12">
        <v>21</v>
      </c>
      <c r="AO106" s="12">
        <f t="shared" si="42"/>
        <v>0</v>
      </c>
      <c r="AP106" s="12">
        <f t="shared" si="43"/>
        <v>0</v>
      </c>
      <c r="AQ106" s="32" t="s">
        <v>85</v>
      </c>
      <c r="AV106" s="12">
        <f t="shared" si="34"/>
        <v>0</v>
      </c>
      <c r="AW106" s="12">
        <f t="shared" si="35"/>
        <v>0</v>
      </c>
      <c r="AX106" s="12">
        <f t="shared" si="36"/>
        <v>0</v>
      </c>
      <c r="AY106" s="78" t="s">
        <v>893</v>
      </c>
      <c r="AZ106" s="78" t="s">
        <v>913</v>
      </c>
      <c r="BA106" s="27" t="s">
        <v>928</v>
      </c>
      <c r="BC106" s="12">
        <f t="shared" si="37"/>
        <v>0</v>
      </c>
      <c r="BD106" s="12">
        <f t="shared" si="38"/>
        <v>0</v>
      </c>
      <c r="BE106" s="12">
        <v>0</v>
      </c>
      <c r="BF106" s="12">
        <f>106</f>
        <v>106</v>
      </c>
      <c r="BH106" s="26">
        <f t="shared" si="39"/>
        <v>0</v>
      </c>
      <c r="BI106" s="26">
        <f t="shared" si="40"/>
        <v>0</v>
      </c>
      <c r="BJ106" s="26">
        <f t="shared" si="41"/>
        <v>0</v>
      </c>
    </row>
    <row r="107" spans="1:62" x14ac:dyDescent="0.2">
      <c r="A107" s="18" t="s">
        <v>138</v>
      </c>
      <c r="B107" s="18" t="s">
        <v>7</v>
      </c>
      <c r="C107" s="18" t="s">
        <v>349</v>
      </c>
      <c r="D107" s="111" t="s">
        <v>597</v>
      </c>
      <c r="E107" s="112"/>
      <c r="F107" s="112"/>
      <c r="G107" s="112"/>
      <c r="H107" s="112"/>
      <c r="I107" s="18" t="s">
        <v>789</v>
      </c>
      <c r="J107" s="26">
        <v>45</v>
      </c>
      <c r="K107" s="69">
        <v>0</v>
      </c>
      <c r="L107" s="26">
        <f t="shared" si="22"/>
        <v>0</v>
      </c>
      <c r="M107" s="32"/>
      <c r="Z107" s="12">
        <f t="shared" si="23"/>
        <v>0</v>
      </c>
      <c r="AB107" s="12">
        <f t="shared" si="24"/>
        <v>0</v>
      </c>
      <c r="AC107" s="12">
        <f t="shared" si="25"/>
        <v>0</v>
      </c>
      <c r="AD107" s="12">
        <f t="shared" si="26"/>
        <v>0</v>
      </c>
      <c r="AE107" s="12">
        <f t="shared" si="27"/>
        <v>0</v>
      </c>
      <c r="AF107" s="12">
        <f t="shared" si="28"/>
        <v>0</v>
      </c>
      <c r="AG107" s="12">
        <f t="shared" si="29"/>
        <v>0</v>
      </c>
      <c r="AH107" s="12">
        <f t="shared" si="30"/>
        <v>0</v>
      </c>
      <c r="AI107" s="27" t="s">
        <v>7</v>
      </c>
      <c r="AJ107" s="26">
        <f t="shared" si="31"/>
        <v>0</v>
      </c>
      <c r="AK107" s="26">
        <f t="shared" si="32"/>
        <v>0</v>
      </c>
      <c r="AL107" s="26">
        <f t="shared" si="33"/>
        <v>0</v>
      </c>
      <c r="AN107" s="12">
        <v>21</v>
      </c>
      <c r="AO107" s="12">
        <f t="shared" si="42"/>
        <v>0</v>
      </c>
      <c r="AP107" s="12">
        <f t="shared" si="43"/>
        <v>0</v>
      </c>
      <c r="AQ107" s="32" t="s">
        <v>85</v>
      </c>
      <c r="AV107" s="12">
        <f t="shared" si="34"/>
        <v>0</v>
      </c>
      <c r="AW107" s="12">
        <f t="shared" si="35"/>
        <v>0</v>
      </c>
      <c r="AX107" s="12">
        <f t="shared" si="36"/>
        <v>0</v>
      </c>
      <c r="AY107" s="78" t="s">
        <v>893</v>
      </c>
      <c r="AZ107" s="78" t="s">
        <v>913</v>
      </c>
      <c r="BA107" s="27" t="s">
        <v>928</v>
      </c>
      <c r="BC107" s="12">
        <f t="shared" si="37"/>
        <v>0</v>
      </c>
      <c r="BD107" s="12">
        <f t="shared" si="38"/>
        <v>0</v>
      </c>
      <c r="BE107" s="12">
        <v>0</v>
      </c>
      <c r="BF107" s="12">
        <f>107</f>
        <v>107</v>
      </c>
      <c r="BH107" s="26">
        <f t="shared" si="39"/>
        <v>0</v>
      </c>
      <c r="BI107" s="26">
        <f t="shared" si="40"/>
        <v>0</v>
      </c>
      <c r="BJ107" s="26">
        <f t="shared" si="41"/>
        <v>0</v>
      </c>
    </row>
    <row r="108" spans="1:62" x14ac:dyDescent="0.2">
      <c r="A108" s="18" t="s">
        <v>139</v>
      </c>
      <c r="B108" s="18" t="s">
        <v>7</v>
      </c>
      <c r="C108" s="18" t="s">
        <v>350</v>
      </c>
      <c r="D108" s="111" t="s">
        <v>598</v>
      </c>
      <c r="E108" s="112"/>
      <c r="F108" s="112"/>
      <c r="G108" s="112"/>
      <c r="H108" s="112"/>
      <c r="I108" s="18" t="s">
        <v>789</v>
      </c>
      <c r="J108" s="26">
        <v>20</v>
      </c>
      <c r="K108" s="69">
        <v>0</v>
      </c>
      <c r="L108" s="26">
        <f t="shared" si="22"/>
        <v>0</v>
      </c>
      <c r="M108" s="32"/>
      <c r="Z108" s="12">
        <f t="shared" si="23"/>
        <v>0</v>
      </c>
      <c r="AB108" s="12">
        <f t="shared" si="24"/>
        <v>0</v>
      </c>
      <c r="AC108" s="12">
        <f t="shared" si="25"/>
        <v>0</v>
      </c>
      <c r="AD108" s="12">
        <f t="shared" si="26"/>
        <v>0</v>
      </c>
      <c r="AE108" s="12">
        <f t="shared" si="27"/>
        <v>0</v>
      </c>
      <c r="AF108" s="12">
        <f t="shared" si="28"/>
        <v>0</v>
      </c>
      <c r="AG108" s="12">
        <f t="shared" si="29"/>
        <v>0</v>
      </c>
      <c r="AH108" s="12">
        <f t="shared" si="30"/>
        <v>0</v>
      </c>
      <c r="AI108" s="27" t="s">
        <v>7</v>
      </c>
      <c r="AJ108" s="26">
        <f t="shared" si="31"/>
        <v>0</v>
      </c>
      <c r="AK108" s="26">
        <f t="shared" si="32"/>
        <v>0</v>
      </c>
      <c r="AL108" s="26">
        <f t="shared" si="33"/>
        <v>0</v>
      </c>
      <c r="AN108" s="12">
        <v>21</v>
      </c>
      <c r="AO108" s="12">
        <f t="shared" si="42"/>
        <v>0</v>
      </c>
      <c r="AP108" s="12">
        <f t="shared" si="43"/>
        <v>0</v>
      </c>
      <c r="AQ108" s="32" t="s">
        <v>85</v>
      </c>
      <c r="AV108" s="12">
        <f t="shared" si="34"/>
        <v>0</v>
      </c>
      <c r="AW108" s="12">
        <f t="shared" si="35"/>
        <v>0</v>
      </c>
      <c r="AX108" s="12">
        <f t="shared" si="36"/>
        <v>0</v>
      </c>
      <c r="AY108" s="78" t="s">
        <v>893</v>
      </c>
      <c r="AZ108" s="78" t="s">
        <v>913</v>
      </c>
      <c r="BA108" s="27" t="s">
        <v>928</v>
      </c>
      <c r="BC108" s="12">
        <f t="shared" si="37"/>
        <v>0</v>
      </c>
      <c r="BD108" s="12">
        <f t="shared" si="38"/>
        <v>0</v>
      </c>
      <c r="BE108" s="12">
        <v>0</v>
      </c>
      <c r="BF108" s="12">
        <f>108</f>
        <v>108</v>
      </c>
      <c r="BH108" s="26">
        <f t="shared" si="39"/>
        <v>0</v>
      </c>
      <c r="BI108" s="26">
        <f t="shared" si="40"/>
        <v>0</v>
      </c>
      <c r="BJ108" s="26">
        <f t="shared" si="41"/>
        <v>0</v>
      </c>
    </row>
    <row r="109" spans="1:62" x14ac:dyDescent="0.2">
      <c r="A109" s="18" t="s">
        <v>140</v>
      </c>
      <c r="B109" s="18" t="s">
        <v>7</v>
      </c>
      <c r="C109" s="18" t="s">
        <v>351</v>
      </c>
      <c r="D109" s="111" t="s">
        <v>599</v>
      </c>
      <c r="E109" s="112"/>
      <c r="F109" s="112"/>
      <c r="G109" s="112"/>
      <c r="H109" s="112"/>
      <c r="I109" s="18" t="s">
        <v>789</v>
      </c>
      <c r="J109" s="26">
        <v>20</v>
      </c>
      <c r="K109" s="69">
        <v>0</v>
      </c>
      <c r="L109" s="26">
        <f t="shared" si="22"/>
        <v>0</v>
      </c>
      <c r="M109" s="32"/>
      <c r="Z109" s="12">
        <f t="shared" si="23"/>
        <v>0</v>
      </c>
      <c r="AB109" s="12">
        <f t="shared" si="24"/>
        <v>0</v>
      </c>
      <c r="AC109" s="12">
        <f t="shared" si="25"/>
        <v>0</v>
      </c>
      <c r="AD109" s="12">
        <f t="shared" si="26"/>
        <v>0</v>
      </c>
      <c r="AE109" s="12">
        <f t="shared" si="27"/>
        <v>0</v>
      </c>
      <c r="AF109" s="12">
        <f t="shared" si="28"/>
        <v>0</v>
      </c>
      <c r="AG109" s="12">
        <f t="shared" si="29"/>
        <v>0</v>
      </c>
      <c r="AH109" s="12">
        <f t="shared" si="30"/>
        <v>0</v>
      </c>
      <c r="AI109" s="27" t="s">
        <v>7</v>
      </c>
      <c r="AJ109" s="26">
        <f t="shared" si="31"/>
        <v>0</v>
      </c>
      <c r="AK109" s="26">
        <f t="shared" si="32"/>
        <v>0</v>
      </c>
      <c r="AL109" s="26">
        <f t="shared" si="33"/>
        <v>0</v>
      </c>
      <c r="AN109" s="12">
        <v>21</v>
      </c>
      <c r="AO109" s="12">
        <f t="shared" si="42"/>
        <v>0</v>
      </c>
      <c r="AP109" s="12">
        <f t="shared" si="43"/>
        <v>0</v>
      </c>
      <c r="AQ109" s="32" t="s">
        <v>85</v>
      </c>
      <c r="AV109" s="12">
        <f t="shared" si="34"/>
        <v>0</v>
      </c>
      <c r="AW109" s="12">
        <f t="shared" si="35"/>
        <v>0</v>
      </c>
      <c r="AX109" s="12">
        <f t="shared" si="36"/>
        <v>0</v>
      </c>
      <c r="AY109" s="78" t="s">
        <v>893</v>
      </c>
      <c r="AZ109" s="78" t="s">
        <v>913</v>
      </c>
      <c r="BA109" s="27" t="s">
        <v>928</v>
      </c>
      <c r="BC109" s="12">
        <f t="shared" si="37"/>
        <v>0</v>
      </c>
      <c r="BD109" s="12">
        <f t="shared" si="38"/>
        <v>0</v>
      </c>
      <c r="BE109" s="12">
        <v>0</v>
      </c>
      <c r="BF109" s="12">
        <f>109</f>
        <v>109</v>
      </c>
      <c r="BH109" s="26">
        <f t="shared" si="39"/>
        <v>0</v>
      </c>
      <c r="BI109" s="26">
        <f t="shared" si="40"/>
        <v>0</v>
      </c>
      <c r="BJ109" s="26">
        <f t="shared" si="41"/>
        <v>0</v>
      </c>
    </row>
    <row r="110" spans="1:62" x14ac:dyDescent="0.2">
      <c r="A110" s="18" t="s">
        <v>141</v>
      </c>
      <c r="B110" s="18" t="s">
        <v>7</v>
      </c>
      <c r="C110" s="18" t="s">
        <v>352</v>
      </c>
      <c r="D110" s="111" t="s">
        <v>600</v>
      </c>
      <c r="E110" s="112"/>
      <c r="F110" s="112"/>
      <c r="G110" s="112"/>
      <c r="H110" s="112"/>
      <c r="I110" s="18" t="s">
        <v>789</v>
      </c>
      <c r="J110" s="26">
        <v>30</v>
      </c>
      <c r="K110" s="69">
        <v>0</v>
      </c>
      <c r="L110" s="26">
        <f t="shared" si="22"/>
        <v>0</v>
      </c>
      <c r="M110" s="32"/>
      <c r="Z110" s="12">
        <f t="shared" si="23"/>
        <v>0</v>
      </c>
      <c r="AB110" s="12">
        <f t="shared" si="24"/>
        <v>0</v>
      </c>
      <c r="AC110" s="12">
        <f t="shared" si="25"/>
        <v>0</v>
      </c>
      <c r="AD110" s="12">
        <f t="shared" si="26"/>
        <v>0</v>
      </c>
      <c r="AE110" s="12">
        <f t="shared" si="27"/>
        <v>0</v>
      </c>
      <c r="AF110" s="12">
        <f t="shared" si="28"/>
        <v>0</v>
      </c>
      <c r="AG110" s="12">
        <f t="shared" si="29"/>
        <v>0</v>
      </c>
      <c r="AH110" s="12">
        <f t="shared" si="30"/>
        <v>0</v>
      </c>
      <c r="AI110" s="27" t="s">
        <v>7</v>
      </c>
      <c r="AJ110" s="26">
        <f t="shared" si="31"/>
        <v>0</v>
      </c>
      <c r="AK110" s="26">
        <f t="shared" si="32"/>
        <v>0</v>
      </c>
      <c r="AL110" s="26">
        <f t="shared" si="33"/>
        <v>0</v>
      </c>
      <c r="AN110" s="12">
        <v>21</v>
      </c>
      <c r="AO110" s="12">
        <f t="shared" si="42"/>
        <v>0</v>
      </c>
      <c r="AP110" s="12">
        <f t="shared" si="43"/>
        <v>0</v>
      </c>
      <c r="AQ110" s="32" t="s">
        <v>85</v>
      </c>
      <c r="AV110" s="12">
        <f t="shared" si="34"/>
        <v>0</v>
      </c>
      <c r="AW110" s="12">
        <f t="shared" si="35"/>
        <v>0</v>
      </c>
      <c r="AX110" s="12">
        <f t="shared" si="36"/>
        <v>0</v>
      </c>
      <c r="AY110" s="78" t="s">
        <v>893</v>
      </c>
      <c r="AZ110" s="78" t="s">
        <v>913</v>
      </c>
      <c r="BA110" s="27" t="s">
        <v>928</v>
      </c>
      <c r="BC110" s="12">
        <f t="shared" si="37"/>
        <v>0</v>
      </c>
      <c r="BD110" s="12">
        <f t="shared" si="38"/>
        <v>0</v>
      </c>
      <c r="BE110" s="12">
        <v>0</v>
      </c>
      <c r="BF110" s="12">
        <f>110</f>
        <v>110</v>
      </c>
      <c r="BH110" s="26">
        <f t="shared" si="39"/>
        <v>0</v>
      </c>
      <c r="BI110" s="26">
        <f t="shared" si="40"/>
        <v>0</v>
      </c>
      <c r="BJ110" s="26">
        <f t="shared" si="41"/>
        <v>0</v>
      </c>
    </row>
    <row r="111" spans="1:62" x14ac:dyDescent="0.2">
      <c r="A111" s="18" t="s">
        <v>142</v>
      </c>
      <c r="B111" s="18" t="s">
        <v>7</v>
      </c>
      <c r="C111" s="18" t="s">
        <v>353</v>
      </c>
      <c r="D111" s="111" t="s">
        <v>601</v>
      </c>
      <c r="E111" s="112"/>
      <c r="F111" s="112"/>
      <c r="G111" s="112"/>
      <c r="H111" s="112"/>
      <c r="I111" s="18" t="s">
        <v>789</v>
      </c>
      <c r="J111" s="26">
        <v>10</v>
      </c>
      <c r="K111" s="69">
        <v>0</v>
      </c>
      <c r="L111" s="26">
        <f t="shared" si="22"/>
        <v>0</v>
      </c>
      <c r="M111" s="32"/>
      <c r="Z111" s="12">
        <f t="shared" si="23"/>
        <v>0</v>
      </c>
      <c r="AB111" s="12">
        <f t="shared" si="24"/>
        <v>0</v>
      </c>
      <c r="AC111" s="12">
        <f t="shared" si="25"/>
        <v>0</v>
      </c>
      <c r="AD111" s="12">
        <f t="shared" si="26"/>
        <v>0</v>
      </c>
      <c r="AE111" s="12">
        <f t="shared" si="27"/>
        <v>0</v>
      </c>
      <c r="AF111" s="12">
        <f t="shared" si="28"/>
        <v>0</v>
      </c>
      <c r="AG111" s="12">
        <f t="shared" si="29"/>
        <v>0</v>
      </c>
      <c r="AH111" s="12">
        <f t="shared" si="30"/>
        <v>0</v>
      </c>
      <c r="AI111" s="27" t="s">
        <v>7</v>
      </c>
      <c r="AJ111" s="26">
        <f t="shared" si="31"/>
        <v>0</v>
      </c>
      <c r="AK111" s="26">
        <f t="shared" si="32"/>
        <v>0</v>
      </c>
      <c r="AL111" s="26">
        <f t="shared" si="33"/>
        <v>0</v>
      </c>
      <c r="AN111" s="12">
        <v>21</v>
      </c>
      <c r="AO111" s="12">
        <f t="shared" si="42"/>
        <v>0</v>
      </c>
      <c r="AP111" s="12">
        <f t="shared" si="43"/>
        <v>0</v>
      </c>
      <c r="AQ111" s="32" t="s">
        <v>85</v>
      </c>
      <c r="AV111" s="12">
        <f t="shared" si="34"/>
        <v>0</v>
      </c>
      <c r="AW111" s="12">
        <f t="shared" si="35"/>
        <v>0</v>
      </c>
      <c r="AX111" s="12">
        <f t="shared" si="36"/>
        <v>0</v>
      </c>
      <c r="AY111" s="78" t="s">
        <v>893</v>
      </c>
      <c r="AZ111" s="78" t="s">
        <v>913</v>
      </c>
      <c r="BA111" s="27" t="s">
        <v>928</v>
      </c>
      <c r="BC111" s="12">
        <f t="shared" si="37"/>
        <v>0</v>
      </c>
      <c r="BD111" s="12">
        <f t="shared" si="38"/>
        <v>0</v>
      </c>
      <c r="BE111" s="12">
        <v>0</v>
      </c>
      <c r="BF111" s="12">
        <f>111</f>
        <v>111</v>
      </c>
      <c r="BH111" s="26">
        <f t="shared" si="39"/>
        <v>0</v>
      </c>
      <c r="BI111" s="26">
        <f t="shared" si="40"/>
        <v>0</v>
      </c>
      <c r="BJ111" s="26">
        <f t="shared" si="41"/>
        <v>0</v>
      </c>
    </row>
    <row r="112" spans="1:62" x14ac:dyDescent="0.2">
      <c r="A112" s="18" t="s">
        <v>143</v>
      </c>
      <c r="B112" s="18" t="s">
        <v>7</v>
      </c>
      <c r="C112" s="18" t="s">
        <v>354</v>
      </c>
      <c r="D112" s="111" t="s">
        <v>602</v>
      </c>
      <c r="E112" s="112"/>
      <c r="F112" s="112"/>
      <c r="G112" s="112"/>
      <c r="H112" s="112"/>
      <c r="I112" s="18" t="s">
        <v>789</v>
      </c>
      <c r="J112" s="26">
        <v>50</v>
      </c>
      <c r="K112" s="69">
        <v>0</v>
      </c>
      <c r="L112" s="26">
        <f t="shared" si="22"/>
        <v>0</v>
      </c>
      <c r="M112" s="32"/>
      <c r="Z112" s="12">
        <f t="shared" si="23"/>
        <v>0</v>
      </c>
      <c r="AB112" s="12">
        <f t="shared" si="24"/>
        <v>0</v>
      </c>
      <c r="AC112" s="12">
        <f t="shared" si="25"/>
        <v>0</v>
      </c>
      <c r="AD112" s="12">
        <f t="shared" si="26"/>
        <v>0</v>
      </c>
      <c r="AE112" s="12">
        <f t="shared" si="27"/>
        <v>0</v>
      </c>
      <c r="AF112" s="12">
        <f t="shared" si="28"/>
        <v>0</v>
      </c>
      <c r="AG112" s="12">
        <f t="shared" si="29"/>
        <v>0</v>
      </c>
      <c r="AH112" s="12">
        <f t="shared" si="30"/>
        <v>0</v>
      </c>
      <c r="AI112" s="27" t="s">
        <v>7</v>
      </c>
      <c r="AJ112" s="26">
        <f t="shared" si="31"/>
        <v>0</v>
      </c>
      <c r="AK112" s="26">
        <f t="shared" si="32"/>
        <v>0</v>
      </c>
      <c r="AL112" s="26">
        <f t="shared" si="33"/>
        <v>0</v>
      </c>
      <c r="AN112" s="12">
        <v>21</v>
      </c>
      <c r="AO112" s="12">
        <f t="shared" si="42"/>
        <v>0</v>
      </c>
      <c r="AP112" s="12">
        <f t="shared" si="43"/>
        <v>0</v>
      </c>
      <c r="AQ112" s="32" t="s">
        <v>85</v>
      </c>
      <c r="AV112" s="12">
        <f t="shared" si="34"/>
        <v>0</v>
      </c>
      <c r="AW112" s="12">
        <f t="shared" si="35"/>
        <v>0</v>
      </c>
      <c r="AX112" s="12">
        <f t="shared" si="36"/>
        <v>0</v>
      </c>
      <c r="AY112" s="78" t="s">
        <v>893</v>
      </c>
      <c r="AZ112" s="78" t="s">
        <v>913</v>
      </c>
      <c r="BA112" s="27" t="s">
        <v>928</v>
      </c>
      <c r="BC112" s="12">
        <f t="shared" si="37"/>
        <v>0</v>
      </c>
      <c r="BD112" s="12">
        <f t="shared" si="38"/>
        <v>0</v>
      </c>
      <c r="BE112" s="12">
        <v>0</v>
      </c>
      <c r="BF112" s="12">
        <f>112</f>
        <v>112</v>
      </c>
      <c r="BH112" s="26">
        <f t="shared" si="39"/>
        <v>0</v>
      </c>
      <c r="BI112" s="26">
        <f t="shared" si="40"/>
        <v>0</v>
      </c>
      <c r="BJ112" s="26">
        <f t="shared" si="41"/>
        <v>0</v>
      </c>
    </row>
    <row r="113" spans="1:62" x14ac:dyDescent="0.2">
      <c r="A113" s="18" t="s">
        <v>144</v>
      </c>
      <c r="B113" s="18" t="s">
        <v>7</v>
      </c>
      <c r="C113" s="18" t="s">
        <v>355</v>
      </c>
      <c r="D113" s="111" t="s">
        <v>603</v>
      </c>
      <c r="E113" s="112"/>
      <c r="F113" s="112"/>
      <c r="G113" s="112"/>
      <c r="H113" s="112"/>
      <c r="I113" s="18" t="s">
        <v>789</v>
      </c>
      <c r="J113" s="26">
        <v>40</v>
      </c>
      <c r="K113" s="69">
        <v>0</v>
      </c>
      <c r="L113" s="26">
        <f t="shared" si="22"/>
        <v>0</v>
      </c>
      <c r="M113" s="32"/>
      <c r="Z113" s="12">
        <f t="shared" si="23"/>
        <v>0</v>
      </c>
      <c r="AB113" s="12">
        <f t="shared" si="24"/>
        <v>0</v>
      </c>
      <c r="AC113" s="12">
        <f t="shared" si="25"/>
        <v>0</v>
      </c>
      <c r="AD113" s="12">
        <f t="shared" si="26"/>
        <v>0</v>
      </c>
      <c r="AE113" s="12">
        <f t="shared" si="27"/>
        <v>0</v>
      </c>
      <c r="AF113" s="12">
        <f t="shared" si="28"/>
        <v>0</v>
      </c>
      <c r="AG113" s="12">
        <f t="shared" si="29"/>
        <v>0</v>
      </c>
      <c r="AH113" s="12">
        <f t="shared" si="30"/>
        <v>0</v>
      </c>
      <c r="AI113" s="27" t="s">
        <v>7</v>
      </c>
      <c r="AJ113" s="26">
        <f t="shared" si="31"/>
        <v>0</v>
      </c>
      <c r="AK113" s="26">
        <f t="shared" si="32"/>
        <v>0</v>
      </c>
      <c r="AL113" s="26">
        <f t="shared" si="33"/>
        <v>0</v>
      </c>
      <c r="AN113" s="12">
        <v>21</v>
      </c>
      <c r="AO113" s="12">
        <f t="shared" si="42"/>
        <v>0</v>
      </c>
      <c r="AP113" s="12">
        <f t="shared" si="43"/>
        <v>0</v>
      </c>
      <c r="AQ113" s="32" t="s">
        <v>85</v>
      </c>
      <c r="AV113" s="12">
        <f t="shared" si="34"/>
        <v>0</v>
      </c>
      <c r="AW113" s="12">
        <f t="shared" si="35"/>
        <v>0</v>
      </c>
      <c r="AX113" s="12">
        <f t="shared" si="36"/>
        <v>0</v>
      </c>
      <c r="AY113" s="78" t="s">
        <v>893</v>
      </c>
      <c r="AZ113" s="78" t="s">
        <v>913</v>
      </c>
      <c r="BA113" s="27" t="s">
        <v>928</v>
      </c>
      <c r="BC113" s="12">
        <f t="shared" si="37"/>
        <v>0</v>
      </c>
      <c r="BD113" s="12">
        <f t="shared" si="38"/>
        <v>0</v>
      </c>
      <c r="BE113" s="12">
        <v>0</v>
      </c>
      <c r="BF113" s="12">
        <f>113</f>
        <v>113</v>
      </c>
      <c r="BH113" s="26">
        <f t="shared" si="39"/>
        <v>0</v>
      </c>
      <c r="BI113" s="26">
        <f t="shared" si="40"/>
        <v>0</v>
      </c>
      <c r="BJ113" s="26">
        <f t="shared" si="41"/>
        <v>0</v>
      </c>
    </row>
    <row r="114" spans="1:62" x14ac:dyDescent="0.2">
      <c r="A114" s="18" t="s">
        <v>145</v>
      </c>
      <c r="B114" s="18" t="s">
        <v>7</v>
      </c>
      <c r="C114" s="18" t="s">
        <v>356</v>
      </c>
      <c r="D114" s="111" t="s">
        <v>604</v>
      </c>
      <c r="E114" s="112"/>
      <c r="F114" s="112"/>
      <c r="G114" s="112"/>
      <c r="H114" s="112"/>
      <c r="I114" s="18" t="s">
        <v>789</v>
      </c>
      <c r="J114" s="26">
        <v>3</v>
      </c>
      <c r="K114" s="69">
        <v>0</v>
      </c>
      <c r="L114" s="26">
        <f t="shared" ref="L114:L135" si="44">J114*K114</f>
        <v>0</v>
      </c>
      <c r="M114" s="32"/>
      <c r="Z114" s="12">
        <f t="shared" ref="Z114:Z135" si="45">IF(AQ114="5",BJ114,0)</f>
        <v>0</v>
      </c>
      <c r="AB114" s="12">
        <f t="shared" ref="AB114:AB135" si="46">IF(AQ114="1",BH114,0)</f>
        <v>0</v>
      </c>
      <c r="AC114" s="12">
        <f t="shared" ref="AC114:AC135" si="47">IF(AQ114="1",BI114,0)</f>
        <v>0</v>
      </c>
      <c r="AD114" s="12">
        <f t="shared" ref="AD114:AD135" si="48">IF(AQ114="7",BH114,0)</f>
        <v>0</v>
      </c>
      <c r="AE114" s="12">
        <f t="shared" ref="AE114:AE135" si="49">IF(AQ114="7",BI114,0)</f>
        <v>0</v>
      </c>
      <c r="AF114" s="12">
        <f t="shared" ref="AF114:AF135" si="50">IF(AQ114="2",BH114,0)</f>
        <v>0</v>
      </c>
      <c r="AG114" s="12">
        <f t="shared" ref="AG114:AG135" si="51">IF(AQ114="2",BI114,0)</f>
        <v>0</v>
      </c>
      <c r="AH114" s="12">
        <f t="shared" ref="AH114:AH135" si="52">IF(AQ114="0",BJ114,0)</f>
        <v>0</v>
      </c>
      <c r="AI114" s="27" t="s">
        <v>7</v>
      </c>
      <c r="AJ114" s="26">
        <f t="shared" ref="AJ114:AJ135" si="53">IF(AN114=0,L114,0)</f>
        <v>0</v>
      </c>
      <c r="AK114" s="26">
        <f t="shared" ref="AK114:AK135" si="54">IF(AN114=15,L114,0)</f>
        <v>0</v>
      </c>
      <c r="AL114" s="26">
        <f t="shared" ref="AL114:AL135" si="55">IF(AN114=21,L114,0)</f>
        <v>0</v>
      </c>
      <c r="AN114" s="12">
        <v>21</v>
      </c>
      <c r="AO114" s="12">
        <f t="shared" si="42"/>
        <v>0</v>
      </c>
      <c r="AP114" s="12">
        <f t="shared" si="43"/>
        <v>0</v>
      </c>
      <c r="AQ114" s="32" t="s">
        <v>85</v>
      </c>
      <c r="AV114" s="12">
        <f t="shared" ref="AV114:AV135" si="56">AW114+AX114</f>
        <v>0</v>
      </c>
      <c r="AW114" s="12">
        <f t="shared" ref="AW114:AW135" si="57">J114*AO114</f>
        <v>0</v>
      </c>
      <c r="AX114" s="12">
        <f t="shared" ref="AX114:AX135" si="58">J114*AP114</f>
        <v>0</v>
      </c>
      <c r="AY114" s="78" t="s">
        <v>893</v>
      </c>
      <c r="AZ114" s="78" t="s">
        <v>913</v>
      </c>
      <c r="BA114" s="27" t="s">
        <v>928</v>
      </c>
      <c r="BC114" s="12">
        <f t="shared" ref="BC114:BC135" si="59">AW114+AX114</f>
        <v>0</v>
      </c>
      <c r="BD114" s="12">
        <f t="shared" ref="BD114:BD135" si="60">K114/(100-BE114)*100</f>
        <v>0</v>
      </c>
      <c r="BE114" s="12">
        <v>0</v>
      </c>
      <c r="BF114" s="12">
        <f>114</f>
        <v>114</v>
      </c>
      <c r="BH114" s="26">
        <f t="shared" ref="BH114:BH135" si="61">J114*AO114</f>
        <v>0</v>
      </c>
      <c r="BI114" s="26">
        <f t="shared" ref="BI114:BI135" si="62">J114*AP114</f>
        <v>0</v>
      </c>
      <c r="BJ114" s="26">
        <f t="shared" ref="BJ114:BJ135" si="63">J114*K114</f>
        <v>0</v>
      </c>
    </row>
    <row r="115" spans="1:62" x14ac:dyDescent="0.2">
      <c r="A115" s="18" t="s">
        <v>146</v>
      </c>
      <c r="B115" s="18" t="s">
        <v>7</v>
      </c>
      <c r="C115" s="18" t="s">
        <v>357</v>
      </c>
      <c r="D115" s="111" t="s">
        <v>605</v>
      </c>
      <c r="E115" s="112"/>
      <c r="F115" s="112"/>
      <c r="G115" s="112"/>
      <c r="H115" s="112"/>
      <c r="I115" s="18" t="s">
        <v>789</v>
      </c>
      <c r="J115" s="26">
        <v>50</v>
      </c>
      <c r="K115" s="69">
        <v>0</v>
      </c>
      <c r="L115" s="26">
        <f t="shared" si="44"/>
        <v>0</v>
      </c>
      <c r="M115" s="32"/>
      <c r="Z115" s="12">
        <f t="shared" si="45"/>
        <v>0</v>
      </c>
      <c r="AB115" s="12">
        <f t="shared" si="46"/>
        <v>0</v>
      </c>
      <c r="AC115" s="12">
        <f t="shared" si="47"/>
        <v>0</v>
      </c>
      <c r="AD115" s="12">
        <f t="shared" si="48"/>
        <v>0</v>
      </c>
      <c r="AE115" s="12">
        <f t="shared" si="49"/>
        <v>0</v>
      </c>
      <c r="AF115" s="12">
        <f t="shared" si="50"/>
        <v>0</v>
      </c>
      <c r="AG115" s="12">
        <f t="shared" si="51"/>
        <v>0</v>
      </c>
      <c r="AH115" s="12">
        <f t="shared" si="52"/>
        <v>0</v>
      </c>
      <c r="AI115" s="27" t="s">
        <v>7</v>
      </c>
      <c r="AJ115" s="26">
        <f t="shared" si="53"/>
        <v>0</v>
      </c>
      <c r="AK115" s="26">
        <f t="shared" si="54"/>
        <v>0</v>
      </c>
      <c r="AL115" s="26">
        <f t="shared" si="55"/>
        <v>0</v>
      </c>
      <c r="AN115" s="12">
        <v>21</v>
      </c>
      <c r="AO115" s="12">
        <f t="shared" si="42"/>
        <v>0</v>
      </c>
      <c r="AP115" s="12">
        <f t="shared" si="43"/>
        <v>0</v>
      </c>
      <c r="AQ115" s="32" t="s">
        <v>85</v>
      </c>
      <c r="AV115" s="12">
        <f t="shared" si="56"/>
        <v>0</v>
      </c>
      <c r="AW115" s="12">
        <f t="shared" si="57"/>
        <v>0</v>
      </c>
      <c r="AX115" s="12">
        <f t="shared" si="58"/>
        <v>0</v>
      </c>
      <c r="AY115" s="78" t="s">
        <v>893</v>
      </c>
      <c r="AZ115" s="78" t="s">
        <v>913</v>
      </c>
      <c r="BA115" s="27" t="s">
        <v>928</v>
      </c>
      <c r="BC115" s="12">
        <f t="shared" si="59"/>
        <v>0</v>
      </c>
      <c r="BD115" s="12">
        <f t="shared" si="60"/>
        <v>0</v>
      </c>
      <c r="BE115" s="12">
        <v>0</v>
      </c>
      <c r="BF115" s="12">
        <f>115</f>
        <v>115</v>
      </c>
      <c r="BH115" s="26">
        <f t="shared" si="61"/>
        <v>0</v>
      </c>
      <c r="BI115" s="26">
        <f t="shared" si="62"/>
        <v>0</v>
      </c>
      <c r="BJ115" s="26">
        <f t="shared" si="63"/>
        <v>0</v>
      </c>
    </row>
    <row r="116" spans="1:62" x14ac:dyDescent="0.2">
      <c r="A116" s="18" t="s">
        <v>147</v>
      </c>
      <c r="B116" s="18" t="s">
        <v>7</v>
      </c>
      <c r="C116" s="18" t="s">
        <v>358</v>
      </c>
      <c r="D116" s="111" t="s">
        <v>606</v>
      </c>
      <c r="E116" s="112"/>
      <c r="F116" s="112"/>
      <c r="G116" s="112"/>
      <c r="H116" s="112"/>
      <c r="I116" s="18" t="s">
        <v>789</v>
      </c>
      <c r="J116" s="26">
        <v>30</v>
      </c>
      <c r="K116" s="69">
        <v>0</v>
      </c>
      <c r="L116" s="26">
        <f t="shared" si="44"/>
        <v>0</v>
      </c>
      <c r="M116" s="32"/>
      <c r="Z116" s="12">
        <f t="shared" si="45"/>
        <v>0</v>
      </c>
      <c r="AB116" s="12">
        <f t="shared" si="46"/>
        <v>0</v>
      </c>
      <c r="AC116" s="12">
        <f t="shared" si="47"/>
        <v>0</v>
      </c>
      <c r="AD116" s="12">
        <f t="shared" si="48"/>
        <v>0</v>
      </c>
      <c r="AE116" s="12">
        <f t="shared" si="49"/>
        <v>0</v>
      </c>
      <c r="AF116" s="12">
        <f t="shared" si="50"/>
        <v>0</v>
      </c>
      <c r="AG116" s="12">
        <f t="shared" si="51"/>
        <v>0</v>
      </c>
      <c r="AH116" s="12">
        <f t="shared" si="52"/>
        <v>0</v>
      </c>
      <c r="AI116" s="27" t="s">
        <v>7</v>
      </c>
      <c r="AJ116" s="26">
        <f t="shared" si="53"/>
        <v>0</v>
      </c>
      <c r="AK116" s="26">
        <f t="shared" si="54"/>
        <v>0</v>
      </c>
      <c r="AL116" s="26">
        <f t="shared" si="55"/>
        <v>0</v>
      </c>
      <c r="AN116" s="12">
        <v>21</v>
      </c>
      <c r="AO116" s="12">
        <f t="shared" si="42"/>
        <v>0</v>
      </c>
      <c r="AP116" s="12">
        <f t="shared" si="43"/>
        <v>0</v>
      </c>
      <c r="AQ116" s="32" t="s">
        <v>85</v>
      </c>
      <c r="AV116" s="12">
        <f t="shared" si="56"/>
        <v>0</v>
      </c>
      <c r="AW116" s="12">
        <f t="shared" si="57"/>
        <v>0</v>
      </c>
      <c r="AX116" s="12">
        <f t="shared" si="58"/>
        <v>0</v>
      </c>
      <c r="AY116" s="78" t="s">
        <v>893</v>
      </c>
      <c r="AZ116" s="78" t="s">
        <v>913</v>
      </c>
      <c r="BA116" s="27" t="s">
        <v>928</v>
      </c>
      <c r="BC116" s="12">
        <f t="shared" si="59"/>
        <v>0</v>
      </c>
      <c r="BD116" s="12">
        <f t="shared" si="60"/>
        <v>0</v>
      </c>
      <c r="BE116" s="12">
        <v>0</v>
      </c>
      <c r="BF116" s="12">
        <f>116</f>
        <v>116</v>
      </c>
      <c r="BH116" s="26">
        <f t="shared" si="61"/>
        <v>0</v>
      </c>
      <c r="BI116" s="26">
        <f t="shared" si="62"/>
        <v>0</v>
      </c>
      <c r="BJ116" s="26">
        <f t="shared" si="63"/>
        <v>0</v>
      </c>
    </row>
    <row r="117" spans="1:62" x14ac:dyDescent="0.2">
      <c r="A117" s="18" t="s">
        <v>148</v>
      </c>
      <c r="B117" s="18" t="s">
        <v>7</v>
      </c>
      <c r="C117" s="18" t="s">
        <v>359</v>
      </c>
      <c r="D117" s="111" t="s">
        <v>607</v>
      </c>
      <c r="E117" s="112"/>
      <c r="F117" s="112"/>
      <c r="G117" s="112"/>
      <c r="H117" s="112"/>
      <c r="I117" s="18" t="s">
        <v>789</v>
      </c>
      <c r="J117" s="26">
        <v>100</v>
      </c>
      <c r="K117" s="69">
        <v>0</v>
      </c>
      <c r="L117" s="26">
        <f t="shared" si="44"/>
        <v>0</v>
      </c>
      <c r="M117" s="32"/>
      <c r="Z117" s="12">
        <f t="shared" si="45"/>
        <v>0</v>
      </c>
      <c r="AB117" s="12">
        <f t="shared" si="46"/>
        <v>0</v>
      </c>
      <c r="AC117" s="12">
        <f t="shared" si="47"/>
        <v>0</v>
      </c>
      <c r="AD117" s="12">
        <f t="shared" si="48"/>
        <v>0</v>
      </c>
      <c r="AE117" s="12">
        <f t="shared" si="49"/>
        <v>0</v>
      </c>
      <c r="AF117" s="12">
        <f t="shared" si="50"/>
        <v>0</v>
      </c>
      <c r="AG117" s="12">
        <f t="shared" si="51"/>
        <v>0</v>
      </c>
      <c r="AH117" s="12">
        <f t="shared" si="52"/>
        <v>0</v>
      </c>
      <c r="AI117" s="27" t="s">
        <v>7</v>
      </c>
      <c r="AJ117" s="26">
        <f t="shared" si="53"/>
        <v>0</v>
      </c>
      <c r="AK117" s="26">
        <f t="shared" si="54"/>
        <v>0</v>
      </c>
      <c r="AL117" s="26">
        <f t="shared" si="55"/>
        <v>0</v>
      </c>
      <c r="AN117" s="12">
        <v>21</v>
      </c>
      <c r="AO117" s="12">
        <f t="shared" si="42"/>
        <v>0</v>
      </c>
      <c r="AP117" s="12">
        <f t="shared" si="43"/>
        <v>0</v>
      </c>
      <c r="AQ117" s="32" t="s">
        <v>85</v>
      </c>
      <c r="AV117" s="12">
        <f t="shared" si="56"/>
        <v>0</v>
      </c>
      <c r="AW117" s="12">
        <f t="shared" si="57"/>
        <v>0</v>
      </c>
      <c r="AX117" s="12">
        <f t="shared" si="58"/>
        <v>0</v>
      </c>
      <c r="AY117" s="78" t="s">
        <v>893</v>
      </c>
      <c r="AZ117" s="78" t="s">
        <v>913</v>
      </c>
      <c r="BA117" s="27" t="s">
        <v>928</v>
      </c>
      <c r="BC117" s="12">
        <f t="shared" si="59"/>
        <v>0</v>
      </c>
      <c r="BD117" s="12">
        <f t="shared" si="60"/>
        <v>0</v>
      </c>
      <c r="BE117" s="12">
        <v>0</v>
      </c>
      <c r="BF117" s="12">
        <f>117</f>
        <v>117</v>
      </c>
      <c r="BH117" s="26">
        <f t="shared" si="61"/>
        <v>0</v>
      </c>
      <c r="BI117" s="26">
        <f t="shared" si="62"/>
        <v>0</v>
      </c>
      <c r="BJ117" s="26">
        <f t="shared" si="63"/>
        <v>0</v>
      </c>
    </row>
    <row r="118" spans="1:62" x14ac:dyDescent="0.2">
      <c r="A118" s="18" t="s">
        <v>149</v>
      </c>
      <c r="B118" s="18" t="s">
        <v>7</v>
      </c>
      <c r="C118" s="18" t="s">
        <v>360</v>
      </c>
      <c r="D118" s="111" t="s">
        <v>608</v>
      </c>
      <c r="E118" s="112"/>
      <c r="F118" s="112"/>
      <c r="G118" s="112"/>
      <c r="H118" s="112"/>
      <c r="I118" s="18" t="s">
        <v>789</v>
      </c>
      <c r="J118" s="26">
        <v>45</v>
      </c>
      <c r="K118" s="69">
        <v>0</v>
      </c>
      <c r="L118" s="26">
        <f t="shared" si="44"/>
        <v>0</v>
      </c>
      <c r="M118" s="32"/>
      <c r="Z118" s="12">
        <f t="shared" si="45"/>
        <v>0</v>
      </c>
      <c r="AB118" s="12">
        <f t="shared" si="46"/>
        <v>0</v>
      </c>
      <c r="AC118" s="12">
        <f t="shared" si="47"/>
        <v>0</v>
      </c>
      <c r="AD118" s="12">
        <f t="shared" si="48"/>
        <v>0</v>
      </c>
      <c r="AE118" s="12">
        <f t="shared" si="49"/>
        <v>0</v>
      </c>
      <c r="AF118" s="12">
        <f t="shared" si="50"/>
        <v>0</v>
      </c>
      <c r="AG118" s="12">
        <f t="shared" si="51"/>
        <v>0</v>
      </c>
      <c r="AH118" s="12">
        <f t="shared" si="52"/>
        <v>0</v>
      </c>
      <c r="AI118" s="27" t="s">
        <v>7</v>
      </c>
      <c r="AJ118" s="26">
        <f t="shared" si="53"/>
        <v>0</v>
      </c>
      <c r="AK118" s="26">
        <f t="shared" si="54"/>
        <v>0</v>
      </c>
      <c r="AL118" s="26">
        <f t="shared" si="55"/>
        <v>0</v>
      </c>
      <c r="AN118" s="12">
        <v>21</v>
      </c>
      <c r="AO118" s="12">
        <f t="shared" si="42"/>
        <v>0</v>
      </c>
      <c r="AP118" s="12">
        <f t="shared" si="43"/>
        <v>0</v>
      </c>
      <c r="AQ118" s="32" t="s">
        <v>85</v>
      </c>
      <c r="AV118" s="12">
        <f t="shared" si="56"/>
        <v>0</v>
      </c>
      <c r="AW118" s="12">
        <f t="shared" si="57"/>
        <v>0</v>
      </c>
      <c r="AX118" s="12">
        <f t="shared" si="58"/>
        <v>0</v>
      </c>
      <c r="AY118" s="78" t="s">
        <v>893</v>
      </c>
      <c r="AZ118" s="78" t="s">
        <v>913</v>
      </c>
      <c r="BA118" s="27" t="s">
        <v>928</v>
      </c>
      <c r="BC118" s="12">
        <f t="shared" si="59"/>
        <v>0</v>
      </c>
      <c r="BD118" s="12">
        <f t="shared" si="60"/>
        <v>0</v>
      </c>
      <c r="BE118" s="12">
        <v>0</v>
      </c>
      <c r="BF118" s="12">
        <f>118</f>
        <v>118</v>
      </c>
      <c r="BH118" s="26">
        <f t="shared" si="61"/>
        <v>0</v>
      </c>
      <c r="BI118" s="26">
        <f t="shared" si="62"/>
        <v>0</v>
      </c>
      <c r="BJ118" s="26">
        <f t="shared" si="63"/>
        <v>0</v>
      </c>
    </row>
    <row r="119" spans="1:62" x14ac:dyDescent="0.2">
      <c r="A119" s="18" t="s">
        <v>150</v>
      </c>
      <c r="B119" s="18" t="s">
        <v>7</v>
      </c>
      <c r="C119" s="18" t="s">
        <v>361</v>
      </c>
      <c r="D119" s="111" t="s">
        <v>609</v>
      </c>
      <c r="E119" s="112"/>
      <c r="F119" s="112"/>
      <c r="G119" s="112"/>
      <c r="H119" s="112"/>
      <c r="I119" s="18" t="s">
        <v>789</v>
      </c>
      <c r="J119" s="26">
        <v>45</v>
      </c>
      <c r="K119" s="69">
        <v>0</v>
      </c>
      <c r="L119" s="26">
        <f t="shared" si="44"/>
        <v>0</v>
      </c>
      <c r="M119" s="32"/>
      <c r="Z119" s="12">
        <f t="shared" si="45"/>
        <v>0</v>
      </c>
      <c r="AB119" s="12">
        <f t="shared" si="46"/>
        <v>0</v>
      </c>
      <c r="AC119" s="12">
        <f t="shared" si="47"/>
        <v>0</v>
      </c>
      <c r="AD119" s="12">
        <f t="shared" si="48"/>
        <v>0</v>
      </c>
      <c r="AE119" s="12">
        <f t="shared" si="49"/>
        <v>0</v>
      </c>
      <c r="AF119" s="12">
        <f t="shared" si="50"/>
        <v>0</v>
      </c>
      <c r="AG119" s="12">
        <f t="shared" si="51"/>
        <v>0</v>
      </c>
      <c r="AH119" s="12">
        <f t="shared" si="52"/>
        <v>0</v>
      </c>
      <c r="AI119" s="27" t="s">
        <v>7</v>
      </c>
      <c r="AJ119" s="26">
        <f t="shared" si="53"/>
        <v>0</v>
      </c>
      <c r="AK119" s="26">
        <f t="shared" si="54"/>
        <v>0</v>
      </c>
      <c r="AL119" s="26">
        <f t="shared" si="55"/>
        <v>0</v>
      </c>
      <c r="AN119" s="12">
        <v>21</v>
      </c>
      <c r="AO119" s="12">
        <f t="shared" si="42"/>
        <v>0</v>
      </c>
      <c r="AP119" s="12">
        <f t="shared" si="43"/>
        <v>0</v>
      </c>
      <c r="AQ119" s="32" t="s">
        <v>85</v>
      </c>
      <c r="AV119" s="12">
        <f t="shared" si="56"/>
        <v>0</v>
      </c>
      <c r="AW119" s="12">
        <f t="shared" si="57"/>
        <v>0</v>
      </c>
      <c r="AX119" s="12">
        <f t="shared" si="58"/>
        <v>0</v>
      </c>
      <c r="AY119" s="78" t="s">
        <v>893</v>
      </c>
      <c r="AZ119" s="78" t="s">
        <v>913</v>
      </c>
      <c r="BA119" s="27" t="s">
        <v>928</v>
      </c>
      <c r="BC119" s="12">
        <f t="shared" si="59"/>
        <v>0</v>
      </c>
      <c r="BD119" s="12">
        <f t="shared" si="60"/>
        <v>0</v>
      </c>
      <c r="BE119" s="12">
        <v>0</v>
      </c>
      <c r="BF119" s="12">
        <f>119</f>
        <v>119</v>
      </c>
      <c r="BH119" s="26">
        <f t="shared" si="61"/>
        <v>0</v>
      </c>
      <c r="BI119" s="26">
        <f t="shared" si="62"/>
        <v>0</v>
      </c>
      <c r="BJ119" s="26">
        <f t="shared" si="63"/>
        <v>0</v>
      </c>
    </row>
    <row r="120" spans="1:62" x14ac:dyDescent="0.2">
      <c r="A120" s="18" t="s">
        <v>151</v>
      </c>
      <c r="B120" s="18" t="s">
        <v>7</v>
      </c>
      <c r="C120" s="18" t="s">
        <v>362</v>
      </c>
      <c r="D120" s="111" t="s">
        <v>610</v>
      </c>
      <c r="E120" s="112"/>
      <c r="F120" s="112"/>
      <c r="G120" s="112"/>
      <c r="H120" s="112"/>
      <c r="I120" s="18" t="s">
        <v>789</v>
      </c>
      <c r="J120" s="26">
        <v>10</v>
      </c>
      <c r="K120" s="69">
        <v>0</v>
      </c>
      <c r="L120" s="26">
        <f t="shared" si="44"/>
        <v>0</v>
      </c>
      <c r="M120" s="32"/>
      <c r="Z120" s="12">
        <f t="shared" si="45"/>
        <v>0</v>
      </c>
      <c r="AB120" s="12">
        <f t="shared" si="46"/>
        <v>0</v>
      </c>
      <c r="AC120" s="12">
        <f t="shared" si="47"/>
        <v>0</v>
      </c>
      <c r="AD120" s="12">
        <f t="shared" si="48"/>
        <v>0</v>
      </c>
      <c r="AE120" s="12">
        <f t="shared" si="49"/>
        <v>0</v>
      </c>
      <c r="AF120" s="12">
        <f t="shared" si="50"/>
        <v>0</v>
      </c>
      <c r="AG120" s="12">
        <f t="shared" si="51"/>
        <v>0</v>
      </c>
      <c r="AH120" s="12">
        <f t="shared" si="52"/>
        <v>0</v>
      </c>
      <c r="AI120" s="27" t="s">
        <v>7</v>
      </c>
      <c r="AJ120" s="26">
        <f t="shared" si="53"/>
        <v>0</v>
      </c>
      <c r="AK120" s="26">
        <f t="shared" si="54"/>
        <v>0</v>
      </c>
      <c r="AL120" s="26">
        <f t="shared" si="55"/>
        <v>0</v>
      </c>
      <c r="AN120" s="12">
        <v>21</v>
      </c>
      <c r="AO120" s="12">
        <f t="shared" si="42"/>
        <v>0</v>
      </c>
      <c r="AP120" s="12">
        <f t="shared" si="43"/>
        <v>0</v>
      </c>
      <c r="AQ120" s="32" t="s">
        <v>85</v>
      </c>
      <c r="AV120" s="12">
        <f t="shared" si="56"/>
        <v>0</v>
      </c>
      <c r="AW120" s="12">
        <f t="shared" si="57"/>
        <v>0</v>
      </c>
      <c r="AX120" s="12">
        <f t="shared" si="58"/>
        <v>0</v>
      </c>
      <c r="AY120" s="78" t="s">
        <v>893</v>
      </c>
      <c r="AZ120" s="78" t="s">
        <v>913</v>
      </c>
      <c r="BA120" s="27" t="s">
        <v>928</v>
      </c>
      <c r="BC120" s="12">
        <f t="shared" si="59"/>
        <v>0</v>
      </c>
      <c r="BD120" s="12">
        <f t="shared" si="60"/>
        <v>0</v>
      </c>
      <c r="BE120" s="12">
        <v>0</v>
      </c>
      <c r="BF120" s="12">
        <f>120</f>
        <v>120</v>
      </c>
      <c r="BH120" s="26">
        <f t="shared" si="61"/>
        <v>0</v>
      </c>
      <c r="BI120" s="26">
        <f t="shared" si="62"/>
        <v>0</v>
      </c>
      <c r="BJ120" s="26">
        <f t="shared" si="63"/>
        <v>0</v>
      </c>
    </row>
    <row r="121" spans="1:62" x14ac:dyDescent="0.2">
      <c r="A121" s="18" t="s">
        <v>152</v>
      </c>
      <c r="B121" s="18" t="s">
        <v>7</v>
      </c>
      <c r="C121" s="18" t="s">
        <v>363</v>
      </c>
      <c r="D121" s="111" t="s">
        <v>611</v>
      </c>
      <c r="E121" s="112"/>
      <c r="F121" s="112"/>
      <c r="G121" s="112"/>
      <c r="H121" s="112"/>
      <c r="I121" s="18" t="s">
        <v>789</v>
      </c>
      <c r="J121" s="26">
        <v>5</v>
      </c>
      <c r="K121" s="69">
        <v>0</v>
      </c>
      <c r="L121" s="26">
        <f t="shared" si="44"/>
        <v>0</v>
      </c>
      <c r="M121" s="32"/>
      <c r="Z121" s="12">
        <f t="shared" si="45"/>
        <v>0</v>
      </c>
      <c r="AB121" s="12">
        <f t="shared" si="46"/>
        <v>0</v>
      </c>
      <c r="AC121" s="12">
        <f t="shared" si="47"/>
        <v>0</v>
      </c>
      <c r="AD121" s="12">
        <f t="shared" si="48"/>
        <v>0</v>
      </c>
      <c r="AE121" s="12">
        <f t="shared" si="49"/>
        <v>0</v>
      </c>
      <c r="AF121" s="12">
        <f t="shared" si="50"/>
        <v>0</v>
      </c>
      <c r="AG121" s="12">
        <f t="shared" si="51"/>
        <v>0</v>
      </c>
      <c r="AH121" s="12">
        <f t="shared" si="52"/>
        <v>0</v>
      </c>
      <c r="AI121" s="27" t="s">
        <v>7</v>
      </c>
      <c r="AJ121" s="26">
        <f t="shared" si="53"/>
        <v>0</v>
      </c>
      <c r="AK121" s="26">
        <f t="shared" si="54"/>
        <v>0</v>
      </c>
      <c r="AL121" s="26">
        <f t="shared" si="55"/>
        <v>0</v>
      </c>
      <c r="AN121" s="12">
        <v>21</v>
      </c>
      <c r="AO121" s="12">
        <f t="shared" si="42"/>
        <v>0</v>
      </c>
      <c r="AP121" s="12">
        <f t="shared" si="43"/>
        <v>0</v>
      </c>
      <c r="AQ121" s="32" t="s">
        <v>85</v>
      </c>
      <c r="AV121" s="12">
        <f t="shared" si="56"/>
        <v>0</v>
      </c>
      <c r="AW121" s="12">
        <f t="shared" si="57"/>
        <v>0</v>
      </c>
      <c r="AX121" s="12">
        <f t="shared" si="58"/>
        <v>0</v>
      </c>
      <c r="AY121" s="78" t="s">
        <v>893</v>
      </c>
      <c r="AZ121" s="78" t="s">
        <v>913</v>
      </c>
      <c r="BA121" s="27" t="s">
        <v>928</v>
      </c>
      <c r="BC121" s="12">
        <f t="shared" si="59"/>
        <v>0</v>
      </c>
      <c r="BD121" s="12">
        <f t="shared" si="60"/>
        <v>0</v>
      </c>
      <c r="BE121" s="12">
        <v>0</v>
      </c>
      <c r="BF121" s="12">
        <f>121</f>
        <v>121</v>
      </c>
      <c r="BH121" s="26">
        <f t="shared" si="61"/>
        <v>0</v>
      </c>
      <c r="BI121" s="26">
        <f t="shared" si="62"/>
        <v>0</v>
      </c>
      <c r="BJ121" s="26">
        <f t="shared" si="63"/>
        <v>0</v>
      </c>
    </row>
    <row r="122" spans="1:62" x14ac:dyDescent="0.2">
      <c r="A122" s="18" t="s">
        <v>153</v>
      </c>
      <c r="B122" s="18" t="s">
        <v>7</v>
      </c>
      <c r="C122" s="18" t="s">
        <v>364</v>
      </c>
      <c r="D122" s="111" t="s">
        <v>612</v>
      </c>
      <c r="E122" s="112"/>
      <c r="F122" s="112"/>
      <c r="G122" s="112"/>
      <c r="H122" s="112"/>
      <c r="I122" s="18" t="s">
        <v>789</v>
      </c>
      <c r="J122" s="26">
        <v>20</v>
      </c>
      <c r="K122" s="69">
        <v>0</v>
      </c>
      <c r="L122" s="26">
        <f t="shared" si="44"/>
        <v>0</v>
      </c>
      <c r="M122" s="32"/>
      <c r="Z122" s="12">
        <f t="shared" si="45"/>
        <v>0</v>
      </c>
      <c r="AB122" s="12">
        <f t="shared" si="46"/>
        <v>0</v>
      </c>
      <c r="AC122" s="12">
        <f t="shared" si="47"/>
        <v>0</v>
      </c>
      <c r="AD122" s="12">
        <f t="shared" si="48"/>
        <v>0</v>
      </c>
      <c r="AE122" s="12">
        <f t="shared" si="49"/>
        <v>0</v>
      </c>
      <c r="AF122" s="12">
        <f t="shared" si="50"/>
        <v>0</v>
      </c>
      <c r="AG122" s="12">
        <f t="shared" si="51"/>
        <v>0</v>
      </c>
      <c r="AH122" s="12">
        <f t="shared" si="52"/>
        <v>0</v>
      </c>
      <c r="AI122" s="27" t="s">
        <v>7</v>
      </c>
      <c r="AJ122" s="26">
        <f t="shared" si="53"/>
        <v>0</v>
      </c>
      <c r="AK122" s="26">
        <f t="shared" si="54"/>
        <v>0</v>
      </c>
      <c r="AL122" s="26">
        <f t="shared" si="55"/>
        <v>0</v>
      </c>
      <c r="AN122" s="12">
        <v>21</v>
      </c>
      <c r="AO122" s="12">
        <f t="shared" si="42"/>
        <v>0</v>
      </c>
      <c r="AP122" s="12">
        <f t="shared" si="43"/>
        <v>0</v>
      </c>
      <c r="AQ122" s="32" t="s">
        <v>85</v>
      </c>
      <c r="AV122" s="12">
        <f t="shared" si="56"/>
        <v>0</v>
      </c>
      <c r="AW122" s="12">
        <f t="shared" si="57"/>
        <v>0</v>
      </c>
      <c r="AX122" s="12">
        <f t="shared" si="58"/>
        <v>0</v>
      </c>
      <c r="AY122" s="78" t="s">
        <v>893</v>
      </c>
      <c r="AZ122" s="78" t="s">
        <v>913</v>
      </c>
      <c r="BA122" s="27" t="s">
        <v>928</v>
      </c>
      <c r="BC122" s="12">
        <f t="shared" si="59"/>
        <v>0</v>
      </c>
      <c r="BD122" s="12">
        <f t="shared" si="60"/>
        <v>0</v>
      </c>
      <c r="BE122" s="12">
        <v>0</v>
      </c>
      <c r="BF122" s="12">
        <f>122</f>
        <v>122</v>
      </c>
      <c r="BH122" s="26">
        <f t="shared" si="61"/>
        <v>0</v>
      </c>
      <c r="BI122" s="26">
        <f t="shared" si="62"/>
        <v>0</v>
      </c>
      <c r="BJ122" s="26">
        <f t="shared" si="63"/>
        <v>0</v>
      </c>
    </row>
    <row r="123" spans="1:62" x14ac:dyDescent="0.2">
      <c r="A123" s="18" t="s">
        <v>154</v>
      </c>
      <c r="B123" s="18" t="s">
        <v>7</v>
      </c>
      <c r="C123" s="18" t="s">
        <v>365</v>
      </c>
      <c r="D123" s="111" t="s">
        <v>613</v>
      </c>
      <c r="E123" s="112"/>
      <c r="F123" s="112"/>
      <c r="G123" s="112"/>
      <c r="H123" s="112"/>
      <c r="I123" s="18" t="s">
        <v>789</v>
      </c>
      <c r="J123" s="26">
        <v>20</v>
      </c>
      <c r="K123" s="69">
        <v>0</v>
      </c>
      <c r="L123" s="26">
        <f t="shared" si="44"/>
        <v>0</v>
      </c>
      <c r="M123" s="32"/>
      <c r="Z123" s="12">
        <f t="shared" si="45"/>
        <v>0</v>
      </c>
      <c r="AB123" s="12">
        <f t="shared" si="46"/>
        <v>0</v>
      </c>
      <c r="AC123" s="12">
        <f t="shared" si="47"/>
        <v>0</v>
      </c>
      <c r="AD123" s="12">
        <f t="shared" si="48"/>
        <v>0</v>
      </c>
      <c r="AE123" s="12">
        <f t="shared" si="49"/>
        <v>0</v>
      </c>
      <c r="AF123" s="12">
        <f t="shared" si="50"/>
        <v>0</v>
      </c>
      <c r="AG123" s="12">
        <f t="shared" si="51"/>
        <v>0</v>
      </c>
      <c r="AH123" s="12">
        <f t="shared" si="52"/>
        <v>0</v>
      </c>
      <c r="AI123" s="27" t="s">
        <v>7</v>
      </c>
      <c r="AJ123" s="26">
        <f t="shared" si="53"/>
        <v>0</v>
      </c>
      <c r="AK123" s="26">
        <f t="shared" si="54"/>
        <v>0</v>
      </c>
      <c r="AL123" s="26">
        <f t="shared" si="55"/>
        <v>0</v>
      </c>
      <c r="AN123" s="12">
        <v>21</v>
      </c>
      <c r="AO123" s="12">
        <f t="shared" si="42"/>
        <v>0</v>
      </c>
      <c r="AP123" s="12">
        <f t="shared" si="43"/>
        <v>0</v>
      </c>
      <c r="AQ123" s="32" t="s">
        <v>85</v>
      </c>
      <c r="AV123" s="12">
        <f t="shared" si="56"/>
        <v>0</v>
      </c>
      <c r="AW123" s="12">
        <f t="shared" si="57"/>
        <v>0</v>
      </c>
      <c r="AX123" s="12">
        <f t="shared" si="58"/>
        <v>0</v>
      </c>
      <c r="AY123" s="78" t="s">
        <v>893</v>
      </c>
      <c r="AZ123" s="78" t="s">
        <v>913</v>
      </c>
      <c r="BA123" s="27" t="s">
        <v>928</v>
      </c>
      <c r="BC123" s="12">
        <f t="shared" si="59"/>
        <v>0</v>
      </c>
      <c r="BD123" s="12">
        <f t="shared" si="60"/>
        <v>0</v>
      </c>
      <c r="BE123" s="12">
        <v>0</v>
      </c>
      <c r="BF123" s="12">
        <f>123</f>
        <v>123</v>
      </c>
      <c r="BH123" s="26">
        <f t="shared" si="61"/>
        <v>0</v>
      </c>
      <c r="BI123" s="26">
        <f t="shared" si="62"/>
        <v>0</v>
      </c>
      <c r="BJ123" s="26">
        <f t="shared" si="63"/>
        <v>0</v>
      </c>
    </row>
    <row r="124" spans="1:62" x14ac:dyDescent="0.2">
      <c r="A124" s="18" t="s">
        <v>155</v>
      </c>
      <c r="B124" s="18" t="s">
        <v>7</v>
      </c>
      <c r="C124" s="18" t="s">
        <v>366</v>
      </c>
      <c r="D124" s="111" t="s">
        <v>614</v>
      </c>
      <c r="E124" s="112"/>
      <c r="F124" s="112"/>
      <c r="G124" s="112"/>
      <c r="H124" s="112"/>
      <c r="I124" s="18" t="s">
        <v>789</v>
      </c>
      <c r="J124" s="26">
        <v>30</v>
      </c>
      <c r="K124" s="69">
        <v>0</v>
      </c>
      <c r="L124" s="26">
        <f t="shared" si="44"/>
        <v>0</v>
      </c>
      <c r="M124" s="32"/>
      <c r="Z124" s="12">
        <f t="shared" si="45"/>
        <v>0</v>
      </c>
      <c r="AB124" s="12">
        <f t="shared" si="46"/>
        <v>0</v>
      </c>
      <c r="AC124" s="12">
        <f t="shared" si="47"/>
        <v>0</v>
      </c>
      <c r="AD124" s="12">
        <f t="shared" si="48"/>
        <v>0</v>
      </c>
      <c r="AE124" s="12">
        <f t="shared" si="49"/>
        <v>0</v>
      </c>
      <c r="AF124" s="12">
        <f t="shared" si="50"/>
        <v>0</v>
      </c>
      <c r="AG124" s="12">
        <f t="shared" si="51"/>
        <v>0</v>
      </c>
      <c r="AH124" s="12">
        <f t="shared" si="52"/>
        <v>0</v>
      </c>
      <c r="AI124" s="27" t="s">
        <v>7</v>
      </c>
      <c r="AJ124" s="26">
        <f t="shared" si="53"/>
        <v>0</v>
      </c>
      <c r="AK124" s="26">
        <f t="shared" si="54"/>
        <v>0</v>
      </c>
      <c r="AL124" s="26">
        <f t="shared" si="55"/>
        <v>0</v>
      </c>
      <c r="AN124" s="12">
        <v>21</v>
      </c>
      <c r="AO124" s="12">
        <f t="shared" si="42"/>
        <v>0</v>
      </c>
      <c r="AP124" s="12">
        <f t="shared" si="43"/>
        <v>0</v>
      </c>
      <c r="AQ124" s="32" t="s">
        <v>85</v>
      </c>
      <c r="AV124" s="12">
        <f t="shared" si="56"/>
        <v>0</v>
      </c>
      <c r="AW124" s="12">
        <f t="shared" si="57"/>
        <v>0</v>
      </c>
      <c r="AX124" s="12">
        <f t="shared" si="58"/>
        <v>0</v>
      </c>
      <c r="AY124" s="78" t="s">
        <v>893</v>
      </c>
      <c r="AZ124" s="78" t="s">
        <v>913</v>
      </c>
      <c r="BA124" s="27" t="s">
        <v>928</v>
      </c>
      <c r="BC124" s="12">
        <f t="shared" si="59"/>
        <v>0</v>
      </c>
      <c r="BD124" s="12">
        <f t="shared" si="60"/>
        <v>0</v>
      </c>
      <c r="BE124" s="12">
        <v>0</v>
      </c>
      <c r="BF124" s="12">
        <f>124</f>
        <v>124</v>
      </c>
      <c r="BH124" s="26">
        <f t="shared" si="61"/>
        <v>0</v>
      </c>
      <c r="BI124" s="26">
        <f t="shared" si="62"/>
        <v>0</v>
      </c>
      <c r="BJ124" s="26">
        <f t="shared" si="63"/>
        <v>0</v>
      </c>
    </row>
    <row r="125" spans="1:62" x14ac:dyDescent="0.2">
      <c r="A125" s="18" t="s">
        <v>156</v>
      </c>
      <c r="B125" s="18" t="s">
        <v>7</v>
      </c>
      <c r="C125" s="18" t="s">
        <v>367</v>
      </c>
      <c r="D125" s="111" t="s">
        <v>615</v>
      </c>
      <c r="E125" s="112"/>
      <c r="F125" s="112"/>
      <c r="G125" s="112"/>
      <c r="H125" s="112"/>
      <c r="I125" s="18" t="s">
        <v>789</v>
      </c>
      <c r="J125" s="26">
        <v>20</v>
      </c>
      <c r="K125" s="69">
        <v>0</v>
      </c>
      <c r="L125" s="26">
        <f t="shared" si="44"/>
        <v>0</v>
      </c>
      <c r="M125" s="32"/>
      <c r="Z125" s="12">
        <f t="shared" si="45"/>
        <v>0</v>
      </c>
      <c r="AB125" s="12">
        <f t="shared" si="46"/>
        <v>0</v>
      </c>
      <c r="AC125" s="12">
        <f t="shared" si="47"/>
        <v>0</v>
      </c>
      <c r="AD125" s="12">
        <f t="shared" si="48"/>
        <v>0</v>
      </c>
      <c r="AE125" s="12">
        <f t="shared" si="49"/>
        <v>0</v>
      </c>
      <c r="AF125" s="12">
        <f t="shared" si="50"/>
        <v>0</v>
      </c>
      <c r="AG125" s="12">
        <f t="shared" si="51"/>
        <v>0</v>
      </c>
      <c r="AH125" s="12">
        <f t="shared" si="52"/>
        <v>0</v>
      </c>
      <c r="AI125" s="27" t="s">
        <v>7</v>
      </c>
      <c r="AJ125" s="26">
        <f t="shared" si="53"/>
        <v>0</v>
      </c>
      <c r="AK125" s="26">
        <f t="shared" si="54"/>
        <v>0</v>
      </c>
      <c r="AL125" s="26">
        <f t="shared" si="55"/>
        <v>0</v>
      </c>
      <c r="AN125" s="12">
        <v>21</v>
      </c>
      <c r="AO125" s="12">
        <f t="shared" si="42"/>
        <v>0</v>
      </c>
      <c r="AP125" s="12">
        <f t="shared" si="43"/>
        <v>0</v>
      </c>
      <c r="AQ125" s="32" t="s">
        <v>85</v>
      </c>
      <c r="AV125" s="12">
        <f t="shared" si="56"/>
        <v>0</v>
      </c>
      <c r="AW125" s="12">
        <f t="shared" si="57"/>
        <v>0</v>
      </c>
      <c r="AX125" s="12">
        <f t="shared" si="58"/>
        <v>0</v>
      </c>
      <c r="AY125" s="78" t="s">
        <v>893</v>
      </c>
      <c r="AZ125" s="78" t="s">
        <v>913</v>
      </c>
      <c r="BA125" s="27" t="s">
        <v>928</v>
      </c>
      <c r="BC125" s="12">
        <f t="shared" si="59"/>
        <v>0</v>
      </c>
      <c r="BD125" s="12">
        <f t="shared" si="60"/>
        <v>0</v>
      </c>
      <c r="BE125" s="12">
        <v>0</v>
      </c>
      <c r="BF125" s="12">
        <f>125</f>
        <v>125</v>
      </c>
      <c r="BH125" s="26">
        <f t="shared" si="61"/>
        <v>0</v>
      </c>
      <c r="BI125" s="26">
        <f t="shared" si="62"/>
        <v>0</v>
      </c>
      <c r="BJ125" s="26">
        <f t="shared" si="63"/>
        <v>0</v>
      </c>
    </row>
    <row r="126" spans="1:62" x14ac:dyDescent="0.2">
      <c r="A126" s="18" t="s">
        <v>157</v>
      </c>
      <c r="B126" s="18" t="s">
        <v>7</v>
      </c>
      <c r="C126" s="18" t="s">
        <v>368</v>
      </c>
      <c r="D126" s="111" t="s">
        <v>616</v>
      </c>
      <c r="E126" s="112"/>
      <c r="F126" s="112"/>
      <c r="G126" s="112"/>
      <c r="H126" s="112"/>
      <c r="I126" s="18" t="s">
        <v>789</v>
      </c>
      <c r="J126" s="26">
        <v>15</v>
      </c>
      <c r="K126" s="69">
        <v>0</v>
      </c>
      <c r="L126" s="26">
        <f t="shared" si="44"/>
        <v>0</v>
      </c>
      <c r="M126" s="32"/>
      <c r="Z126" s="12">
        <f t="shared" si="45"/>
        <v>0</v>
      </c>
      <c r="AB126" s="12">
        <f t="shared" si="46"/>
        <v>0</v>
      </c>
      <c r="AC126" s="12">
        <f t="shared" si="47"/>
        <v>0</v>
      </c>
      <c r="AD126" s="12">
        <f t="shared" si="48"/>
        <v>0</v>
      </c>
      <c r="AE126" s="12">
        <f t="shared" si="49"/>
        <v>0</v>
      </c>
      <c r="AF126" s="12">
        <f t="shared" si="50"/>
        <v>0</v>
      </c>
      <c r="AG126" s="12">
        <f t="shared" si="51"/>
        <v>0</v>
      </c>
      <c r="AH126" s="12">
        <f t="shared" si="52"/>
        <v>0</v>
      </c>
      <c r="AI126" s="27" t="s">
        <v>7</v>
      </c>
      <c r="AJ126" s="26">
        <f t="shared" si="53"/>
        <v>0</v>
      </c>
      <c r="AK126" s="26">
        <f t="shared" si="54"/>
        <v>0</v>
      </c>
      <c r="AL126" s="26">
        <f t="shared" si="55"/>
        <v>0</v>
      </c>
      <c r="AN126" s="12">
        <v>21</v>
      </c>
      <c r="AO126" s="12">
        <f t="shared" si="42"/>
        <v>0</v>
      </c>
      <c r="AP126" s="12">
        <f t="shared" si="43"/>
        <v>0</v>
      </c>
      <c r="AQ126" s="32" t="s">
        <v>85</v>
      </c>
      <c r="AV126" s="12">
        <f t="shared" si="56"/>
        <v>0</v>
      </c>
      <c r="AW126" s="12">
        <f t="shared" si="57"/>
        <v>0</v>
      </c>
      <c r="AX126" s="12">
        <f t="shared" si="58"/>
        <v>0</v>
      </c>
      <c r="AY126" s="78" t="s">
        <v>893</v>
      </c>
      <c r="AZ126" s="78" t="s">
        <v>913</v>
      </c>
      <c r="BA126" s="27" t="s">
        <v>928</v>
      </c>
      <c r="BC126" s="12">
        <f t="shared" si="59"/>
        <v>0</v>
      </c>
      <c r="BD126" s="12">
        <f t="shared" si="60"/>
        <v>0</v>
      </c>
      <c r="BE126" s="12">
        <v>0</v>
      </c>
      <c r="BF126" s="12">
        <f>126</f>
        <v>126</v>
      </c>
      <c r="BH126" s="26">
        <f t="shared" si="61"/>
        <v>0</v>
      </c>
      <c r="BI126" s="26">
        <f t="shared" si="62"/>
        <v>0</v>
      </c>
      <c r="BJ126" s="26">
        <f t="shared" si="63"/>
        <v>0</v>
      </c>
    </row>
    <row r="127" spans="1:62" x14ac:dyDescent="0.2">
      <c r="A127" s="18" t="s">
        <v>158</v>
      </c>
      <c r="B127" s="18" t="s">
        <v>7</v>
      </c>
      <c r="C127" s="18" t="s">
        <v>369</v>
      </c>
      <c r="D127" s="111" t="s">
        <v>617</v>
      </c>
      <c r="E127" s="112"/>
      <c r="F127" s="112"/>
      <c r="G127" s="112"/>
      <c r="H127" s="112"/>
      <c r="I127" s="18" t="s">
        <v>789</v>
      </c>
      <c r="J127" s="26">
        <v>15</v>
      </c>
      <c r="K127" s="69">
        <v>0</v>
      </c>
      <c r="L127" s="26">
        <f t="shared" si="44"/>
        <v>0</v>
      </c>
      <c r="M127" s="32"/>
      <c r="Z127" s="12">
        <f t="shared" si="45"/>
        <v>0</v>
      </c>
      <c r="AB127" s="12">
        <f t="shared" si="46"/>
        <v>0</v>
      </c>
      <c r="AC127" s="12">
        <f t="shared" si="47"/>
        <v>0</v>
      </c>
      <c r="AD127" s="12">
        <f t="shared" si="48"/>
        <v>0</v>
      </c>
      <c r="AE127" s="12">
        <f t="shared" si="49"/>
        <v>0</v>
      </c>
      <c r="AF127" s="12">
        <f t="shared" si="50"/>
        <v>0</v>
      </c>
      <c r="AG127" s="12">
        <f t="shared" si="51"/>
        <v>0</v>
      </c>
      <c r="AH127" s="12">
        <f t="shared" si="52"/>
        <v>0</v>
      </c>
      <c r="AI127" s="27" t="s">
        <v>7</v>
      </c>
      <c r="AJ127" s="26">
        <f t="shared" si="53"/>
        <v>0</v>
      </c>
      <c r="AK127" s="26">
        <f t="shared" si="54"/>
        <v>0</v>
      </c>
      <c r="AL127" s="26">
        <f t="shared" si="55"/>
        <v>0</v>
      </c>
      <c r="AN127" s="12">
        <v>21</v>
      </c>
      <c r="AO127" s="12">
        <f t="shared" si="42"/>
        <v>0</v>
      </c>
      <c r="AP127" s="12">
        <f t="shared" si="43"/>
        <v>0</v>
      </c>
      <c r="AQ127" s="32" t="s">
        <v>85</v>
      </c>
      <c r="AV127" s="12">
        <f t="shared" si="56"/>
        <v>0</v>
      </c>
      <c r="AW127" s="12">
        <f t="shared" si="57"/>
        <v>0</v>
      </c>
      <c r="AX127" s="12">
        <f t="shared" si="58"/>
        <v>0</v>
      </c>
      <c r="AY127" s="78" t="s">
        <v>893</v>
      </c>
      <c r="AZ127" s="78" t="s">
        <v>913</v>
      </c>
      <c r="BA127" s="27" t="s">
        <v>928</v>
      </c>
      <c r="BC127" s="12">
        <f t="shared" si="59"/>
        <v>0</v>
      </c>
      <c r="BD127" s="12">
        <f t="shared" si="60"/>
        <v>0</v>
      </c>
      <c r="BE127" s="12">
        <v>0</v>
      </c>
      <c r="BF127" s="12">
        <f>127</f>
        <v>127</v>
      </c>
      <c r="BH127" s="26">
        <f t="shared" si="61"/>
        <v>0</v>
      </c>
      <c r="BI127" s="26">
        <f t="shared" si="62"/>
        <v>0</v>
      </c>
      <c r="BJ127" s="26">
        <f t="shared" si="63"/>
        <v>0</v>
      </c>
    </row>
    <row r="128" spans="1:62" x14ac:dyDescent="0.2">
      <c r="A128" s="18" t="s">
        <v>159</v>
      </c>
      <c r="B128" s="18" t="s">
        <v>7</v>
      </c>
      <c r="C128" s="18" t="s">
        <v>370</v>
      </c>
      <c r="D128" s="111" t="s">
        <v>618</v>
      </c>
      <c r="E128" s="112"/>
      <c r="F128" s="112"/>
      <c r="G128" s="112"/>
      <c r="H128" s="112"/>
      <c r="I128" s="18" t="s">
        <v>789</v>
      </c>
      <c r="J128" s="26">
        <v>15</v>
      </c>
      <c r="K128" s="69">
        <v>0</v>
      </c>
      <c r="L128" s="26">
        <f t="shared" si="44"/>
        <v>0</v>
      </c>
      <c r="M128" s="32"/>
      <c r="Z128" s="12">
        <f t="shared" si="45"/>
        <v>0</v>
      </c>
      <c r="AB128" s="12">
        <f t="shared" si="46"/>
        <v>0</v>
      </c>
      <c r="AC128" s="12">
        <f t="shared" si="47"/>
        <v>0</v>
      </c>
      <c r="AD128" s="12">
        <f t="shared" si="48"/>
        <v>0</v>
      </c>
      <c r="AE128" s="12">
        <f t="shared" si="49"/>
        <v>0</v>
      </c>
      <c r="AF128" s="12">
        <f t="shared" si="50"/>
        <v>0</v>
      </c>
      <c r="AG128" s="12">
        <f t="shared" si="51"/>
        <v>0</v>
      </c>
      <c r="AH128" s="12">
        <f t="shared" si="52"/>
        <v>0</v>
      </c>
      <c r="AI128" s="27" t="s">
        <v>7</v>
      </c>
      <c r="AJ128" s="26">
        <f t="shared" si="53"/>
        <v>0</v>
      </c>
      <c r="AK128" s="26">
        <f t="shared" si="54"/>
        <v>0</v>
      </c>
      <c r="AL128" s="26">
        <f t="shared" si="55"/>
        <v>0</v>
      </c>
      <c r="AN128" s="12">
        <v>21</v>
      </c>
      <c r="AO128" s="12">
        <f t="shared" si="42"/>
        <v>0</v>
      </c>
      <c r="AP128" s="12">
        <f t="shared" si="43"/>
        <v>0</v>
      </c>
      <c r="AQ128" s="32" t="s">
        <v>85</v>
      </c>
      <c r="AV128" s="12">
        <f t="shared" si="56"/>
        <v>0</v>
      </c>
      <c r="AW128" s="12">
        <f t="shared" si="57"/>
        <v>0</v>
      </c>
      <c r="AX128" s="12">
        <f t="shared" si="58"/>
        <v>0</v>
      </c>
      <c r="AY128" s="78" t="s">
        <v>893</v>
      </c>
      <c r="AZ128" s="78" t="s">
        <v>913</v>
      </c>
      <c r="BA128" s="27" t="s">
        <v>928</v>
      </c>
      <c r="BC128" s="12">
        <f t="shared" si="59"/>
        <v>0</v>
      </c>
      <c r="BD128" s="12">
        <f t="shared" si="60"/>
        <v>0</v>
      </c>
      <c r="BE128" s="12">
        <v>0</v>
      </c>
      <c r="BF128" s="12">
        <f>128</f>
        <v>128</v>
      </c>
      <c r="BH128" s="26">
        <f t="shared" si="61"/>
        <v>0</v>
      </c>
      <c r="BI128" s="26">
        <f t="shared" si="62"/>
        <v>0</v>
      </c>
      <c r="BJ128" s="26">
        <f t="shared" si="63"/>
        <v>0</v>
      </c>
    </row>
    <row r="129" spans="1:62" x14ac:dyDescent="0.2">
      <c r="A129" s="18" t="s">
        <v>33</v>
      </c>
      <c r="B129" s="18" t="s">
        <v>7</v>
      </c>
      <c r="C129" s="18" t="s">
        <v>371</v>
      </c>
      <c r="D129" s="111" t="s">
        <v>619</v>
      </c>
      <c r="E129" s="112"/>
      <c r="F129" s="112"/>
      <c r="G129" s="112"/>
      <c r="H129" s="112"/>
      <c r="I129" s="18" t="s">
        <v>789</v>
      </c>
      <c r="J129" s="26">
        <v>10</v>
      </c>
      <c r="K129" s="69">
        <v>0</v>
      </c>
      <c r="L129" s="26">
        <f t="shared" si="44"/>
        <v>0</v>
      </c>
      <c r="M129" s="32"/>
      <c r="Z129" s="12">
        <f t="shared" si="45"/>
        <v>0</v>
      </c>
      <c r="AB129" s="12">
        <f t="shared" si="46"/>
        <v>0</v>
      </c>
      <c r="AC129" s="12">
        <f t="shared" si="47"/>
        <v>0</v>
      </c>
      <c r="AD129" s="12">
        <f t="shared" si="48"/>
        <v>0</v>
      </c>
      <c r="AE129" s="12">
        <f t="shared" si="49"/>
        <v>0</v>
      </c>
      <c r="AF129" s="12">
        <f t="shared" si="50"/>
        <v>0</v>
      </c>
      <c r="AG129" s="12">
        <f t="shared" si="51"/>
        <v>0</v>
      </c>
      <c r="AH129" s="12">
        <f t="shared" si="52"/>
        <v>0</v>
      </c>
      <c r="AI129" s="27" t="s">
        <v>7</v>
      </c>
      <c r="AJ129" s="26">
        <f t="shared" si="53"/>
        <v>0</v>
      </c>
      <c r="AK129" s="26">
        <f t="shared" si="54"/>
        <v>0</v>
      </c>
      <c r="AL129" s="26">
        <f t="shared" si="55"/>
        <v>0</v>
      </c>
      <c r="AN129" s="12">
        <v>21</v>
      </c>
      <c r="AO129" s="12">
        <f t="shared" si="42"/>
        <v>0</v>
      </c>
      <c r="AP129" s="12">
        <f t="shared" si="43"/>
        <v>0</v>
      </c>
      <c r="AQ129" s="32" t="s">
        <v>85</v>
      </c>
      <c r="AV129" s="12">
        <f t="shared" si="56"/>
        <v>0</v>
      </c>
      <c r="AW129" s="12">
        <f t="shared" si="57"/>
        <v>0</v>
      </c>
      <c r="AX129" s="12">
        <f t="shared" si="58"/>
        <v>0</v>
      </c>
      <c r="AY129" s="78" t="s">
        <v>893</v>
      </c>
      <c r="AZ129" s="78" t="s">
        <v>913</v>
      </c>
      <c r="BA129" s="27" t="s">
        <v>928</v>
      </c>
      <c r="BC129" s="12">
        <f t="shared" si="59"/>
        <v>0</v>
      </c>
      <c r="BD129" s="12">
        <f t="shared" si="60"/>
        <v>0</v>
      </c>
      <c r="BE129" s="12">
        <v>0</v>
      </c>
      <c r="BF129" s="12">
        <f>129</f>
        <v>129</v>
      </c>
      <c r="BH129" s="26">
        <f t="shared" si="61"/>
        <v>0</v>
      </c>
      <c r="BI129" s="26">
        <f t="shared" si="62"/>
        <v>0</v>
      </c>
      <c r="BJ129" s="26">
        <f t="shared" si="63"/>
        <v>0</v>
      </c>
    </row>
    <row r="130" spans="1:62" x14ac:dyDescent="0.2">
      <c r="A130" s="18" t="s">
        <v>160</v>
      </c>
      <c r="B130" s="18" t="s">
        <v>7</v>
      </c>
      <c r="C130" s="18" t="s">
        <v>372</v>
      </c>
      <c r="D130" s="111" t="s">
        <v>620</v>
      </c>
      <c r="E130" s="112"/>
      <c r="F130" s="112"/>
      <c r="G130" s="112"/>
      <c r="H130" s="112"/>
      <c r="I130" s="18" t="s">
        <v>789</v>
      </c>
      <c r="J130" s="26">
        <v>10</v>
      </c>
      <c r="K130" s="69">
        <v>0</v>
      </c>
      <c r="L130" s="26">
        <f t="shared" si="44"/>
        <v>0</v>
      </c>
      <c r="M130" s="32"/>
      <c r="Z130" s="12">
        <f t="shared" si="45"/>
        <v>0</v>
      </c>
      <c r="AB130" s="12">
        <f t="shared" si="46"/>
        <v>0</v>
      </c>
      <c r="AC130" s="12">
        <f t="shared" si="47"/>
        <v>0</v>
      </c>
      <c r="AD130" s="12">
        <f t="shared" si="48"/>
        <v>0</v>
      </c>
      <c r="AE130" s="12">
        <f t="shared" si="49"/>
        <v>0</v>
      </c>
      <c r="AF130" s="12">
        <f t="shared" si="50"/>
        <v>0</v>
      </c>
      <c r="AG130" s="12">
        <f t="shared" si="51"/>
        <v>0</v>
      </c>
      <c r="AH130" s="12">
        <f t="shared" si="52"/>
        <v>0</v>
      </c>
      <c r="AI130" s="27" t="s">
        <v>7</v>
      </c>
      <c r="AJ130" s="26">
        <f t="shared" si="53"/>
        <v>0</v>
      </c>
      <c r="AK130" s="26">
        <f t="shared" si="54"/>
        <v>0</v>
      </c>
      <c r="AL130" s="26">
        <f t="shared" si="55"/>
        <v>0</v>
      </c>
      <c r="AN130" s="12">
        <v>21</v>
      </c>
      <c r="AO130" s="12">
        <f t="shared" si="42"/>
        <v>0</v>
      </c>
      <c r="AP130" s="12">
        <f t="shared" si="43"/>
        <v>0</v>
      </c>
      <c r="AQ130" s="32" t="s">
        <v>85</v>
      </c>
      <c r="AV130" s="12">
        <f t="shared" si="56"/>
        <v>0</v>
      </c>
      <c r="AW130" s="12">
        <f t="shared" si="57"/>
        <v>0</v>
      </c>
      <c r="AX130" s="12">
        <f t="shared" si="58"/>
        <v>0</v>
      </c>
      <c r="AY130" s="78" t="s">
        <v>893</v>
      </c>
      <c r="AZ130" s="78" t="s">
        <v>913</v>
      </c>
      <c r="BA130" s="27" t="s">
        <v>928</v>
      </c>
      <c r="BC130" s="12">
        <f t="shared" si="59"/>
        <v>0</v>
      </c>
      <c r="BD130" s="12">
        <f t="shared" si="60"/>
        <v>0</v>
      </c>
      <c r="BE130" s="12">
        <v>0</v>
      </c>
      <c r="BF130" s="12">
        <f>130</f>
        <v>130</v>
      </c>
      <c r="BH130" s="26">
        <f t="shared" si="61"/>
        <v>0</v>
      </c>
      <c r="BI130" s="26">
        <f t="shared" si="62"/>
        <v>0</v>
      </c>
      <c r="BJ130" s="26">
        <f t="shared" si="63"/>
        <v>0</v>
      </c>
    </row>
    <row r="131" spans="1:62" x14ac:dyDescent="0.2">
      <c r="A131" s="18" t="s">
        <v>34</v>
      </c>
      <c r="B131" s="18" t="s">
        <v>7</v>
      </c>
      <c r="C131" s="18" t="s">
        <v>373</v>
      </c>
      <c r="D131" s="111" t="s">
        <v>621</v>
      </c>
      <c r="E131" s="112"/>
      <c r="F131" s="112"/>
      <c r="G131" s="112"/>
      <c r="H131" s="112"/>
      <c r="I131" s="18" t="s">
        <v>789</v>
      </c>
      <c r="J131" s="26">
        <v>10</v>
      </c>
      <c r="K131" s="69">
        <v>0</v>
      </c>
      <c r="L131" s="26">
        <f t="shared" si="44"/>
        <v>0</v>
      </c>
      <c r="M131" s="32"/>
      <c r="Z131" s="12">
        <f t="shared" si="45"/>
        <v>0</v>
      </c>
      <c r="AB131" s="12">
        <f t="shared" si="46"/>
        <v>0</v>
      </c>
      <c r="AC131" s="12">
        <f t="shared" si="47"/>
        <v>0</v>
      </c>
      <c r="AD131" s="12">
        <f t="shared" si="48"/>
        <v>0</v>
      </c>
      <c r="AE131" s="12">
        <f t="shared" si="49"/>
        <v>0</v>
      </c>
      <c r="AF131" s="12">
        <f t="shared" si="50"/>
        <v>0</v>
      </c>
      <c r="AG131" s="12">
        <f t="shared" si="51"/>
        <v>0</v>
      </c>
      <c r="AH131" s="12">
        <f t="shared" si="52"/>
        <v>0</v>
      </c>
      <c r="AI131" s="27" t="s">
        <v>7</v>
      </c>
      <c r="AJ131" s="26">
        <f t="shared" si="53"/>
        <v>0</v>
      </c>
      <c r="AK131" s="26">
        <f t="shared" si="54"/>
        <v>0</v>
      </c>
      <c r="AL131" s="26">
        <f t="shared" si="55"/>
        <v>0</v>
      </c>
      <c r="AN131" s="12">
        <v>21</v>
      </c>
      <c r="AO131" s="12">
        <f t="shared" si="42"/>
        <v>0</v>
      </c>
      <c r="AP131" s="12">
        <f t="shared" si="43"/>
        <v>0</v>
      </c>
      <c r="AQ131" s="32" t="s">
        <v>85</v>
      </c>
      <c r="AV131" s="12">
        <f t="shared" si="56"/>
        <v>0</v>
      </c>
      <c r="AW131" s="12">
        <f t="shared" si="57"/>
        <v>0</v>
      </c>
      <c r="AX131" s="12">
        <f t="shared" si="58"/>
        <v>0</v>
      </c>
      <c r="AY131" s="78" t="s">
        <v>893</v>
      </c>
      <c r="AZ131" s="78" t="s">
        <v>913</v>
      </c>
      <c r="BA131" s="27" t="s">
        <v>928</v>
      </c>
      <c r="BC131" s="12">
        <f t="shared" si="59"/>
        <v>0</v>
      </c>
      <c r="BD131" s="12">
        <f t="shared" si="60"/>
        <v>0</v>
      </c>
      <c r="BE131" s="12">
        <v>0</v>
      </c>
      <c r="BF131" s="12">
        <f>131</f>
        <v>131</v>
      </c>
      <c r="BH131" s="26">
        <f t="shared" si="61"/>
        <v>0</v>
      </c>
      <c r="BI131" s="26">
        <f t="shared" si="62"/>
        <v>0</v>
      </c>
      <c r="BJ131" s="26">
        <f t="shared" si="63"/>
        <v>0</v>
      </c>
    </row>
    <row r="132" spans="1:62" x14ac:dyDescent="0.2">
      <c r="A132" s="18" t="s">
        <v>161</v>
      </c>
      <c r="B132" s="18" t="s">
        <v>7</v>
      </c>
      <c r="C132" s="18" t="s">
        <v>374</v>
      </c>
      <c r="D132" s="111" t="s">
        <v>622</v>
      </c>
      <c r="E132" s="112"/>
      <c r="F132" s="112"/>
      <c r="G132" s="112"/>
      <c r="H132" s="112"/>
      <c r="I132" s="18" t="s">
        <v>789</v>
      </c>
      <c r="J132" s="26">
        <v>20</v>
      </c>
      <c r="K132" s="69">
        <v>0</v>
      </c>
      <c r="L132" s="26">
        <f t="shared" si="44"/>
        <v>0</v>
      </c>
      <c r="M132" s="32"/>
      <c r="Z132" s="12">
        <f t="shared" si="45"/>
        <v>0</v>
      </c>
      <c r="AB132" s="12">
        <f t="shared" si="46"/>
        <v>0</v>
      </c>
      <c r="AC132" s="12">
        <f t="shared" si="47"/>
        <v>0</v>
      </c>
      <c r="AD132" s="12">
        <f t="shared" si="48"/>
        <v>0</v>
      </c>
      <c r="AE132" s="12">
        <f t="shared" si="49"/>
        <v>0</v>
      </c>
      <c r="AF132" s="12">
        <f t="shared" si="50"/>
        <v>0</v>
      </c>
      <c r="AG132" s="12">
        <f t="shared" si="51"/>
        <v>0</v>
      </c>
      <c r="AH132" s="12">
        <f t="shared" si="52"/>
        <v>0</v>
      </c>
      <c r="AI132" s="27" t="s">
        <v>7</v>
      </c>
      <c r="AJ132" s="26">
        <f t="shared" si="53"/>
        <v>0</v>
      </c>
      <c r="AK132" s="26">
        <f t="shared" si="54"/>
        <v>0</v>
      </c>
      <c r="AL132" s="26">
        <f t="shared" si="55"/>
        <v>0</v>
      </c>
      <c r="AN132" s="12">
        <v>21</v>
      </c>
      <c r="AO132" s="12">
        <f t="shared" si="42"/>
        <v>0</v>
      </c>
      <c r="AP132" s="12">
        <f t="shared" si="43"/>
        <v>0</v>
      </c>
      <c r="AQ132" s="32" t="s">
        <v>85</v>
      </c>
      <c r="AV132" s="12">
        <f t="shared" si="56"/>
        <v>0</v>
      </c>
      <c r="AW132" s="12">
        <f t="shared" si="57"/>
        <v>0</v>
      </c>
      <c r="AX132" s="12">
        <f t="shared" si="58"/>
        <v>0</v>
      </c>
      <c r="AY132" s="78" t="s">
        <v>893</v>
      </c>
      <c r="AZ132" s="78" t="s">
        <v>913</v>
      </c>
      <c r="BA132" s="27" t="s">
        <v>928</v>
      </c>
      <c r="BC132" s="12">
        <f t="shared" si="59"/>
        <v>0</v>
      </c>
      <c r="BD132" s="12">
        <f t="shared" si="60"/>
        <v>0</v>
      </c>
      <c r="BE132" s="12">
        <v>0</v>
      </c>
      <c r="BF132" s="12">
        <f>132</f>
        <v>132</v>
      </c>
      <c r="BH132" s="26">
        <f t="shared" si="61"/>
        <v>0</v>
      </c>
      <c r="BI132" s="26">
        <f t="shared" si="62"/>
        <v>0</v>
      </c>
      <c r="BJ132" s="26">
        <f t="shared" si="63"/>
        <v>0</v>
      </c>
    </row>
    <row r="133" spans="1:62" x14ac:dyDescent="0.2">
      <c r="A133" s="18" t="s">
        <v>162</v>
      </c>
      <c r="B133" s="18" t="s">
        <v>7</v>
      </c>
      <c r="C133" s="18" t="s">
        <v>375</v>
      </c>
      <c r="D133" s="111" t="s">
        <v>623</v>
      </c>
      <c r="E133" s="112"/>
      <c r="F133" s="112"/>
      <c r="G133" s="112"/>
      <c r="H133" s="112"/>
      <c r="I133" s="18" t="s">
        <v>789</v>
      </c>
      <c r="J133" s="26">
        <v>10</v>
      </c>
      <c r="K133" s="69">
        <v>0</v>
      </c>
      <c r="L133" s="26">
        <f t="shared" si="44"/>
        <v>0</v>
      </c>
      <c r="M133" s="32"/>
      <c r="Z133" s="12">
        <f t="shared" si="45"/>
        <v>0</v>
      </c>
      <c r="AB133" s="12">
        <f t="shared" si="46"/>
        <v>0</v>
      </c>
      <c r="AC133" s="12">
        <f t="shared" si="47"/>
        <v>0</v>
      </c>
      <c r="AD133" s="12">
        <f t="shared" si="48"/>
        <v>0</v>
      </c>
      <c r="AE133" s="12">
        <f t="shared" si="49"/>
        <v>0</v>
      </c>
      <c r="AF133" s="12">
        <f t="shared" si="50"/>
        <v>0</v>
      </c>
      <c r="AG133" s="12">
        <f t="shared" si="51"/>
        <v>0</v>
      </c>
      <c r="AH133" s="12">
        <f t="shared" si="52"/>
        <v>0</v>
      </c>
      <c r="AI133" s="27" t="s">
        <v>7</v>
      </c>
      <c r="AJ133" s="26">
        <f t="shared" si="53"/>
        <v>0</v>
      </c>
      <c r="AK133" s="26">
        <f t="shared" si="54"/>
        <v>0</v>
      </c>
      <c r="AL133" s="26">
        <f t="shared" si="55"/>
        <v>0</v>
      </c>
      <c r="AN133" s="12">
        <v>21</v>
      </c>
      <c r="AO133" s="12">
        <f t="shared" si="42"/>
        <v>0</v>
      </c>
      <c r="AP133" s="12">
        <f t="shared" si="43"/>
        <v>0</v>
      </c>
      <c r="AQ133" s="32" t="s">
        <v>85</v>
      </c>
      <c r="AV133" s="12">
        <f t="shared" si="56"/>
        <v>0</v>
      </c>
      <c r="AW133" s="12">
        <f t="shared" si="57"/>
        <v>0</v>
      </c>
      <c r="AX133" s="12">
        <f t="shared" si="58"/>
        <v>0</v>
      </c>
      <c r="AY133" s="78" t="s">
        <v>893</v>
      </c>
      <c r="AZ133" s="78" t="s">
        <v>913</v>
      </c>
      <c r="BA133" s="27" t="s">
        <v>928</v>
      </c>
      <c r="BC133" s="12">
        <f t="shared" si="59"/>
        <v>0</v>
      </c>
      <c r="BD133" s="12">
        <f t="shared" si="60"/>
        <v>0</v>
      </c>
      <c r="BE133" s="12">
        <v>0</v>
      </c>
      <c r="BF133" s="12">
        <f>133</f>
        <v>133</v>
      </c>
      <c r="BH133" s="26">
        <f t="shared" si="61"/>
        <v>0</v>
      </c>
      <c r="BI133" s="26">
        <f t="shared" si="62"/>
        <v>0</v>
      </c>
      <c r="BJ133" s="26">
        <f t="shared" si="63"/>
        <v>0</v>
      </c>
    </row>
    <row r="134" spans="1:62" x14ac:dyDescent="0.2">
      <c r="A134" s="18" t="s">
        <v>163</v>
      </c>
      <c r="B134" s="18" t="s">
        <v>7</v>
      </c>
      <c r="C134" s="18" t="s">
        <v>376</v>
      </c>
      <c r="D134" s="111" t="s">
        <v>624</v>
      </c>
      <c r="E134" s="112"/>
      <c r="F134" s="112"/>
      <c r="G134" s="112"/>
      <c r="H134" s="112"/>
      <c r="I134" s="18" t="s">
        <v>789</v>
      </c>
      <c r="J134" s="26">
        <v>10</v>
      </c>
      <c r="K134" s="69">
        <v>0</v>
      </c>
      <c r="L134" s="26">
        <f t="shared" si="44"/>
        <v>0</v>
      </c>
      <c r="M134" s="32"/>
      <c r="Z134" s="12">
        <f t="shared" si="45"/>
        <v>0</v>
      </c>
      <c r="AB134" s="12">
        <f t="shared" si="46"/>
        <v>0</v>
      </c>
      <c r="AC134" s="12">
        <f t="shared" si="47"/>
        <v>0</v>
      </c>
      <c r="AD134" s="12">
        <f t="shared" si="48"/>
        <v>0</v>
      </c>
      <c r="AE134" s="12">
        <f t="shared" si="49"/>
        <v>0</v>
      </c>
      <c r="AF134" s="12">
        <f t="shared" si="50"/>
        <v>0</v>
      </c>
      <c r="AG134" s="12">
        <f t="shared" si="51"/>
        <v>0</v>
      </c>
      <c r="AH134" s="12">
        <f t="shared" si="52"/>
        <v>0</v>
      </c>
      <c r="AI134" s="27" t="s">
        <v>7</v>
      </c>
      <c r="AJ134" s="26">
        <f t="shared" si="53"/>
        <v>0</v>
      </c>
      <c r="AK134" s="26">
        <f t="shared" si="54"/>
        <v>0</v>
      </c>
      <c r="AL134" s="26">
        <f t="shared" si="55"/>
        <v>0</v>
      </c>
      <c r="AN134" s="12">
        <v>21</v>
      </c>
      <c r="AO134" s="12">
        <f t="shared" si="42"/>
        <v>0</v>
      </c>
      <c r="AP134" s="12">
        <f t="shared" si="43"/>
        <v>0</v>
      </c>
      <c r="AQ134" s="32" t="s">
        <v>85</v>
      </c>
      <c r="AV134" s="12">
        <f t="shared" si="56"/>
        <v>0</v>
      </c>
      <c r="AW134" s="12">
        <f t="shared" si="57"/>
        <v>0</v>
      </c>
      <c r="AX134" s="12">
        <f t="shared" si="58"/>
        <v>0</v>
      </c>
      <c r="AY134" s="78" t="s">
        <v>893</v>
      </c>
      <c r="AZ134" s="78" t="s">
        <v>913</v>
      </c>
      <c r="BA134" s="27" t="s">
        <v>928</v>
      </c>
      <c r="BC134" s="12">
        <f t="shared" si="59"/>
        <v>0</v>
      </c>
      <c r="BD134" s="12">
        <f t="shared" si="60"/>
        <v>0</v>
      </c>
      <c r="BE134" s="12">
        <v>0</v>
      </c>
      <c r="BF134" s="12">
        <f>134</f>
        <v>134</v>
      </c>
      <c r="BH134" s="26">
        <f t="shared" si="61"/>
        <v>0</v>
      </c>
      <c r="BI134" s="26">
        <f t="shared" si="62"/>
        <v>0</v>
      </c>
      <c r="BJ134" s="26">
        <f t="shared" si="63"/>
        <v>0</v>
      </c>
    </row>
    <row r="135" spans="1:62" x14ac:dyDescent="0.2">
      <c r="A135" s="18" t="s">
        <v>164</v>
      </c>
      <c r="B135" s="18" t="s">
        <v>7</v>
      </c>
      <c r="C135" s="18" t="s">
        <v>377</v>
      </c>
      <c r="D135" s="111" t="s">
        <v>625</v>
      </c>
      <c r="E135" s="112"/>
      <c r="F135" s="112"/>
      <c r="G135" s="112"/>
      <c r="H135" s="112"/>
      <c r="I135" s="18" t="s">
        <v>781</v>
      </c>
      <c r="J135" s="26">
        <v>1</v>
      </c>
      <c r="K135" s="69">
        <v>0</v>
      </c>
      <c r="L135" s="26">
        <f t="shared" si="44"/>
        <v>0</v>
      </c>
      <c r="M135" s="32"/>
      <c r="Z135" s="12">
        <f t="shared" si="45"/>
        <v>0</v>
      </c>
      <c r="AB135" s="12">
        <f t="shared" si="46"/>
        <v>0</v>
      </c>
      <c r="AC135" s="12">
        <f t="shared" si="47"/>
        <v>0</v>
      </c>
      <c r="AD135" s="12">
        <f t="shared" si="48"/>
        <v>0</v>
      </c>
      <c r="AE135" s="12">
        <f t="shared" si="49"/>
        <v>0</v>
      </c>
      <c r="AF135" s="12">
        <f t="shared" si="50"/>
        <v>0</v>
      </c>
      <c r="AG135" s="12">
        <f t="shared" si="51"/>
        <v>0</v>
      </c>
      <c r="AH135" s="12">
        <f t="shared" si="52"/>
        <v>0</v>
      </c>
      <c r="AI135" s="27" t="s">
        <v>7</v>
      </c>
      <c r="AJ135" s="26">
        <f t="shared" si="53"/>
        <v>0</v>
      </c>
      <c r="AK135" s="26">
        <f t="shared" si="54"/>
        <v>0</v>
      </c>
      <c r="AL135" s="26">
        <f t="shared" si="55"/>
        <v>0</v>
      </c>
      <c r="AN135" s="12">
        <v>21</v>
      </c>
      <c r="AO135" s="12">
        <f t="shared" si="42"/>
        <v>0</v>
      </c>
      <c r="AP135" s="12">
        <f t="shared" si="43"/>
        <v>0</v>
      </c>
      <c r="AQ135" s="32" t="s">
        <v>85</v>
      </c>
      <c r="AV135" s="12">
        <f t="shared" si="56"/>
        <v>0</v>
      </c>
      <c r="AW135" s="12">
        <f t="shared" si="57"/>
        <v>0</v>
      </c>
      <c r="AX135" s="12">
        <f t="shared" si="58"/>
        <v>0</v>
      </c>
      <c r="AY135" s="78" t="s">
        <v>893</v>
      </c>
      <c r="AZ135" s="78" t="s">
        <v>913</v>
      </c>
      <c r="BA135" s="27" t="s">
        <v>928</v>
      </c>
      <c r="BC135" s="12">
        <f t="shared" si="59"/>
        <v>0</v>
      </c>
      <c r="BD135" s="12">
        <f t="shared" si="60"/>
        <v>0</v>
      </c>
      <c r="BE135" s="12">
        <v>0</v>
      </c>
      <c r="BF135" s="12">
        <f>135</f>
        <v>135</v>
      </c>
      <c r="BH135" s="26">
        <f t="shared" si="61"/>
        <v>0</v>
      </c>
      <c r="BI135" s="26">
        <f t="shared" si="62"/>
        <v>0</v>
      </c>
      <c r="BJ135" s="26">
        <f t="shared" si="63"/>
        <v>0</v>
      </c>
    </row>
    <row r="136" spans="1:62" x14ac:dyDescent="0.2">
      <c r="A136" s="54"/>
      <c r="B136" s="19" t="s">
        <v>7</v>
      </c>
      <c r="C136" s="19" t="s">
        <v>20</v>
      </c>
      <c r="D136" s="117" t="s">
        <v>49</v>
      </c>
      <c r="E136" s="118"/>
      <c r="F136" s="118"/>
      <c r="G136" s="118"/>
      <c r="H136" s="118"/>
      <c r="I136" s="54" t="s">
        <v>5</v>
      </c>
      <c r="J136" s="54" t="s">
        <v>5</v>
      </c>
      <c r="K136" s="68" t="s">
        <v>5</v>
      </c>
      <c r="L136" s="80">
        <f>SUM(L137:L141)</f>
        <v>0</v>
      </c>
      <c r="M136" s="27"/>
      <c r="AI136" s="27" t="s">
        <v>7</v>
      </c>
      <c r="AS136" s="80">
        <f>SUM(AJ137:AJ141)</f>
        <v>0</v>
      </c>
      <c r="AT136" s="80">
        <f>SUM(AK137:AK141)</f>
        <v>0</v>
      </c>
      <c r="AU136" s="80">
        <f>SUM(AL137:AL141)</f>
        <v>0</v>
      </c>
    </row>
    <row r="137" spans="1:62" x14ac:dyDescent="0.2">
      <c r="A137" s="18" t="s">
        <v>35</v>
      </c>
      <c r="B137" s="18" t="s">
        <v>7</v>
      </c>
      <c r="C137" s="18" t="s">
        <v>378</v>
      </c>
      <c r="D137" s="111" t="s">
        <v>626</v>
      </c>
      <c r="E137" s="112"/>
      <c r="F137" s="112"/>
      <c r="G137" s="112"/>
      <c r="H137" s="112"/>
      <c r="I137" s="18" t="s">
        <v>785</v>
      </c>
      <c r="J137" s="26">
        <v>1.8759999999999999</v>
      </c>
      <c r="K137" s="69">
        <v>0</v>
      </c>
      <c r="L137" s="26">
        <f>J137*K137</f>
        <v>0</v>
      </c>
      <c r="M137" s="32" t="s">
        <v>874</v>
      </c>
      <c r="Z137" s="12">
        <f>IF(AQ137="5",BJ137,0)</f>
        <v>0</v>
      </c>
      <c r="AB137" s="12">
        <f>IF(AQ137="1",BH137,0)</f>
        <v>0</v>
      </c>
      <c r="AC137" s="12">
        <f>IF(AQ137="1",BI137,0)</f>
        <v>0</v>
      </c>
      <c r="AD137" s="12">
        <f>IF(AQ137="7",BH137,0)</f>
        <v>0</v>
      </c>
      <c r="AE137" s="12">
        <f>IF(AQ137="7",BI137,0)</f>
        <v>0</v>
      </c>
      <c r="AF137" s="12">
        <f>IF(AQ137="2",BH137,0)</f>
        <v>0</v>
      </c>
      <c r="AG137" s="12">
        <f>IF(AQ137="2",BI137,0)</f>
        <v>0</v>
      </c>
      <c r="AH137" s="12">
        <f>IF(AQ137="0",BJ137,0)</f>
        <v>0</v>
      </c>
      <c r="AI137" s="27" t="s">
        <v>7</v>
      </c>
      <c r="AJ137" s="26">
        <f>IF(AN137=0,L137,0)</f>
        <v>0</v>
      </c>
      <c r="AK137" s="26">
        <f>IF(AN137=15,L137,0)</f>
        <v>0</v>
      </c>
      <c r="AL137" s="26">
        <f>IF(AN137=21,L137,0)</f>
        <v>0</v>
      </c>
      <c r="AN137" s="12">
        <v>21</v>
      </c>
      <c r="AO137" s="12">
        <f>K137*0.863349480968858</f>
        <v>0</v>
      </c>
      <c r="AP137" s="12">
        <f>K137*(1-0.863349480968858)</f>
        <v>0</v>
      </c>
      <c r="AQ137" s="32" t="s">
        <v>85</v>
      </c>
      <c r="AV137" s="12">
        <f>AW137+AX137</f>
        <v>0</v>
      </c>
      <c r="AW137" s="12">
        <f>J137*AO137</f>
        <v>0</v>
      </c>
      <c r="AX137" s="12">
        <f>J137*AP137</f>
        <v>0</v>
      </c>
      <c r="AY137" s="78" t="s">
        <v>894</v>
      </c>
      <c r="AZ137" s="78" t="s">
        <v>915</v>
      </c>
      <c r="BA137" s="27" t="s">
        <v>928</v>
      </c>
      <c r="BC137" s="12">
        <f>AW137+AX137</f>
        <v>0</v>
      </c>
      <c r="BD137" s="12">
        <f>K137/(100-BE137)*100</f>
        <v>0</v>
      </c>
      <c r="BE137" s="12">
        <v>0</v>
      </c>
      <c r="BF137" s="12">
        <f>137</f>
        <v>137</v>
      </c>
      <c r="BH137" s="26">
        <f>J137*AO137</f>
        <v>0</v>
      </c>
      <c r="BI137" s="26">
        <f>J137*AP137</f>
        <v>0</v>
      </c>
      <c r="BJ137" s="26">
        <f>J137*K137</f>
        <v>0</v>
      </c>
    </row>
    <row r="138" spans="1:62" x14ac:dyDescent="0.2">
      <c r="C138" s="62" t="s">
        <v>296</v>
      </c>
      <c r="D138" s="113" t="s">
        <v>630</v>
      </c>
      <c r="E138" s="114"/>
      <c r="F138" s="114"/>
      <c r="G138" s="114"/>
      <c r="H138" s="114"/>
      <c r="I138" s="114"/>
      <c r="J138" s="114"/>
      <c r="K138" s="154"/>
      <c r="L138" s="114"/>
      <c r="M138" s="114"/>
    </row>
    <row r="139" spans="1:62" x14ac:dyDescent="0.2">
      <c r="A139" s="18" t="s">
        <v>165</v>
      </c>
      <c r="B139" s="18" t="s">
        <v>7</v>
      </c>
      <c r="C139" s="18" t="s">
        <v>379</v>
      </c>
      <c r="D139" s="111" t="s">
        <v>631</v>
      </c>
      <c r="E139" s="112"/>
      <c r="F139" s="112"/>
      <c r="G139" s="112"/>
      <c r="H139" s="112"/>
      <c r="I139" s="18" t="s">
        <v>783</v>
      </c>
      <c r="J139" s="26">
        <v>27.05</v>
      </c>
      <c r="K139" s="69">
        <v>0</v>
      </c>
      <c r="L139" s="26">
        <f>J139*K139</f>
        <v>0</v>
      </c>
      <c r="M139" s="32" t="s">
        <v>874</v>
      </c>
      <c r="Z139" s="12">
        <f>IF(AQ139="5",BJ139,0)</f>
        <v>0</v>
      </c>
      <c r="AB139" s="12">
        <f>IF(AQ139="1",BH139,0)</f>
        <v>0</v>
      </c>
      <c r="AC139" s="12">
        <f>IF(AQ139="1",BI139,0)</f>
        <v>0</v>
      </c>
      <c r="AD139" s="12">
        <f>IF(AQ139="7",BH139,0)</f>
        <v>0</v>
      </c>
      <c r="AE139" s="12">
        <f>IF(AQ139="7",BI139,0)</f>
        <v>0</v>
      </c>
      <c r="AF139" s="12">
        <f>IF(AQ139="2",BH139,0)</f>
        <v>0</v>
      </c>
      <c r="AG139" s="12">
        <f>IF(AQ139="2",BI139,0)</f>
        <v>0</v>
      </c>
      <c r="AH139" s="12">
        <f>IF(AQ139="0",BJ139,0)</f>
        <v>0</v>
      </c>
      <c r="AI139" s="27" t="s">
        <v>7</v>
      </c>
      <c r="AJ139" s="26">
        <f>IF(AN139=0,L139,0)</f>
        <v>0</v>
      </c>
      <c r="AK139" s="26">
        <f>IF(AN139=15,L139,0)</f>
        <v>0</v>
      </c>
      <c r="AL139" s="26">
        <f>IF(AN139=21,L139,0)</f>
        <v>0</v>
      </c>
      <c r="AN139" s="12">
        <v>21</v>
      </c>
      <c r="AO139" s="12">
        <f>K139*0.287051509769094</f>
        <v>0</v>
      </c>
      <c r="AP139" s="12">
        <f>K139*(1-0.287051509769094)</f>
        <v>0</v>
      </c>
      <c r="AQ139" s="32" t="s">
        <v>85</v>
      </c>
      <c r="AV139" s="12">
        <f>AW139+AX139</f>
        <v>0</v>
      </c>
      <c r="AW139" s="12">
        <f>J139*AO139</f>
        <v>0</v>
      </c>
      <c r="AX139" s="12">
        <f>J139*AP139</f>
        <v>0</v>
      </c>
      <c r="AY139" s="78" t="s">
        <v>894</v>
      </c>
      <c r="AZ139" s="78" t="s">
        <v>915</v>
      </c>
      <c r="BA139" s="27" t="s">
        <v>928</v>
      </c>
      <c r="BC139" s="12">
        <f>AW139+AX139</f>
        <v>0</v>
      </c>
      <c r="BD139" s="12">
        <f>K139/(100-BE139)*100</f>
        <v>0</v>
      </c>
      <c r="BE139" s="12">
        <v>0</v>
      </c>
      <c r="BF139" s="12">
        <f>139</f>
        <v>139</v>
      </c>
      <c r="BH139" s="26">
        <f>J139*AO139</f>
        <v>0</v>
      </c>
      <c r="BI139" s="26">
        <f>J139*AP139</f>
        <v>0</v>
      </c>
      <c r="BJ139" s="26">
        <f>J139*K139</f>
        <v>0</v>
      </c>
    </row>
    <row r="140" spans="1:62" x14ac:dyDescent="0.2">
      <c r="A140" s="18" t="s">
        <v>166</v>
      </c>
      <c r="B140" s="18" t="s">
        <v>7</v>
      </c>
      <c r="C140" s="18" t="s">
        <v>380</v>
      </c>
      <c r="D140" s="111" t="s">
        <v>635</v>
      </c>
      <c r="E140" s="112"/>
      <c r="F140" s="112"/>
      <c r="G140" s="112"/>
      <c r="H140" s="112"/>
      <c r="I140" s="18" t="s">
        <v>783</v>
      </c>
      <c r="J140" s="26">
        <v>27.05</v>
      </c>
      <c r="K140" s="69">
        <v>0</v>
      </c>
      <c r="L140" s="26">
        <f>J140*K140</f>
        <v>0</v>
      </c>
      <c r="M140" s="32" t="s">
        <v>874</v>
      </c>
      <c r="Z140" s="12">
        <f>IF(AQ140="5",BJ140,0)</f>
        <v>0</v>
      </c>
      <c r="AB140" s="12">
        <f>IF(AQ140="1",BH140,0)</f>
        <v>0</v>
      </c>
      <c r="AC140" s="12">
        <f>IF(AQ140="1",BI140,0)</f>
        <v>0</v>
      </c>
      <c r="AD140" s="12">
        <f>IF(AQ140="7",BH140,0)</f>
        <v>0</v>
      </c>
      <c r="AE140" s="12">
        <f>IF(AQ140="7",BI140,0)</f>
        <v>0</v>
      </c>
      <c r="AF140" s="12">
        <f>IF(AQ140="2",BH140,0)</f>
        <v>0</v>
      </c>
      <c r="AG140" s="12">
        <f>IF(AQ140="2",BI140,0)</f>
        <v>0</v>
      </c>
      <c r="AH140" s="12">
        <f>IF(AQ140="0",BJ140,0)</f>
        <v>0</v>
      </c>
      <c r="AI140" s="27" t="s">
        <v>7</v>
      </c>
      <c r="AJ140" s="26">
        <f>IF(AN140=0,L140,0)</f>
        <v>0</v>
      </c>
      <c r="AK140" s="26">
        <f>IF(AN140=15,L140,0)</f>
        <v>0</v>
      </c>
      <c r="AL140" s="26">
        <f>IF(AN140=21,L140,0)</f>
        <v>0</v>
      </c>
      <c r="AN140" s="12">
        <v>21</v>
      </c>
      <c r="AO140" s="12">
        <f>K140*0</f>
        <v>0</v>
      </c>
      <c r="AP140" s="12">
        <f>K140*(1-0)</f>
        <v>0</v>
      </c>
      <c r="AQ140" s="32" t="s">
        <v>85</v>
      </c>
      <c r="AV140" s="12">
        <f>AW140+AX140</f>
        <v>0</v>
      </c>
      <c r="AW140" s="12">
        <f>J140*AO140</f>
        <v>0</v>
      </c>
      <c r="AX140" s="12">
        <f>J140*AP140</f>
        <v>0</v>
      </c>
      <c r="AY140" s="78" t="s">
        <v>894</v>
      </c>
      <c r="AZ140" s="78" t="s">
        <v>915</v>
      </c>
      <c r="BA140" s="27" t="s">
        <v>928</v>
      </c>
      <c r="BC140" s="12">
        <f>AW140+AX140</f>
        <v>0</v>
      </c>
      <c r="BD140" s="12">
        <f>K140/(100-BE140)*100</f>
        <v>0</v>
      </c>
      <c r="BE140" s="12">
        <v>0</v>
      </c>
      <c r="BF140" s="12">
        <f>140</f>
        <v>140</v>
      </c>
      <c r="BH140" s="26">
        <f>J140*AO140</f>
        <v>0</v>
      </c>
      <c r="BI140" s="26">
        <f>J140*AP140</f>
        <v>0</v>
      </c>
      <c r="BJ140" s="26">
        <f>J140*K140</f>
        <v>0</v>
      </c>
    </row>
    <row r="141" spans="1:62" x14ac:dyDescent="0.2">
      <c r="A141" s="18" t="s">
        <v>167</v>
      </c>
      <c r="B141" s="18" t="s">
        <v>7</v>
      </c>
      <c r="C141" s="18" t="s">
        <v>381</v>
      </c>
      <c r="D141" s="111" t="s">
        <v>636</v>
      </c>
      <c r="E141" s="112"/>
      <c r="F141" s="112"/>
      <c r="G141" s="112"/>
      <c r="H141" s="112"/>
      <c r="I141" s="18" t="s">
        <v>785</v>
      </c>
      <c r="J141" s="26">
        <v>4.41</v>
      </c>
      <c r="K141" s="69">
        <v>0</v>
      </c>
      <c r="L141" s="26">
        <f>J141*K141</f>
        <v>0</v>
      </c>
      <c r="M141" s="32" t="s">
        <v>874</v>
      </c>
      <c r="Z141" s="12">
        <f>IF(AQ141="5",BJ141,0)</f>
        <v>0</v>
      </c>
      <c r="AB141" s="12">
        <f>IF(AQ141="1",BH141,0)</f>
        <v>0</v>
      </c>
      <c r="AC141" s="12">
        <f>IF(AQ141="1",BI141,0)</f>
        <v>0</v>
      </c>
      <c r="AD141" s="12">
        <f>IF(AQ141="7",BH141,0)</f>
        <v>0</v>
      </c>
      <c r="AE141" s="12">
        <f>IF(AQ141="7",BI141,0)</f>
        <v>0</v>
      </c>
      <c r="AF141" s="12">
        <f>IF(AQ141="2",BH141,0)</f>
        <v>0</v>
      </c>
      <c r="AG141" s="12">
        <f>IF(AQ141="2",BI141,0)</f>
        <v>0</v>
      </c>
      <c r="AH141" s="12">
        <f>IF(AQ141="0",BJ141,0)</f>
        <v>0</v>
      </c>
      <c r="AI141" s="27" t="s">
        <v>7</v>
      </c>
      <c r="AJ141" s="26">
        <f>IF(AN141=0,L141,0)</f>
        <v>0</v>
      </c>
      <c r="AK141" s="26">
        <f>IF(AN141=15,L141,0)</f>
        <v>0</v>
      </c>
      <c r="AL141" s="26">
        <f>IF(AN141=21,L141,0)</f>
        <v>0</v>
      </c>
      <c r="AN141" s="12">
        <v>21</v>
      </c>
      <c r="AO141" s="12">
        <f>K141*0.901403984313675</f>
        <v>0</v>
      </c>
      <c r="AP141" s="12">
        <f>K141*(1-0.901403984313675)</f>
        <v>0</v>
      </c>
      <c r="AQ141" s="32" t="s">
        <v>85</v>
      </c>
      <c r="AV141" s="12">
        <f>AW141+AX141</f>
        <v>0</v>
      </c>
      <c r="AW141" s="12">
        <f>J141*AO141</f>
        <v>0</v>
      </c>
      <c r="AX141" s="12">
        <f>J141*AP141</f>
        <v>0</v>
      </c>
      <c r="AY141" s="78" t="s">
        <v>894</v>
      </c>
      <c r="AZ141" s="78" t="s">
        <v>915</v>
      </c>
      <c r="BA141" s="27" t="s">
        <v>928</v>
      </c>
      <c r="BC141" s="12">
        <f>AW141+AX141</f>
        <v>0</v>
      </c>
      <c r="BD141" s="12">
        <f>K141/(100-BE141)*100</f>
        <v>0</v>
      </c>
      <c r="BE141" s="12">
        <v>0</v>
      </c>
      <c r="BF141" s="12">
        <f>141</f>
        <v>141</v>
      </c>
      <c r="BH141" s="26">
        <f>J141*AO141</f>
        <v>0</v>
      </c>
      <c r="BI141" s="26">
        <f>J141*AP141</f>
        <v>0</v>
      </c>
      <c r="BJ141" s="26">
        <f>J141*K141</f>
        <v>0</v>
      </c>
    </row>
    <row r="142" spans="1:62" x14ac:dyDescent="0.2">
      <c r="C142" s="62" t="s">
        <v>296</v>
      </c>
      <c r="D142" s="113" t="s">
        <v>637</v>
      </c>
      <c r="E142" s="114"/>
      <c r="F142" s="114"/>
      <c r="G142" s="114"/>
      <c r="H142" s="114"/>
      <c r="I142" s="114"/>
      <c r="J142" s="114"/>
      <c r="K142" s="154"/>
      <c r="L142" s="114"/>
      <c r="M142" s="114"/>
    </row>
    <row r="143" spans="1:62" x14ac:dyDescent="0.2">
      <c r="A143" s="54"/>
      <c r="B143" s="19" t="s">
        <v>7</v>
      </c>
      <c r="C143" s="19" t="s">
        <v>21</v>
      </c>
      <c r="D143" s="117" t="s">
        <v>50</v>
      </c>
      <c r="E143" s="118"/>
      <c r="F143" s="118"/>
      <c r="G143" s="118"/>
      <c r="H143" s="118"/>
      <c r="I143" s="54" t="s">
        <v>5</v>
      </c>
      <c r="J143" s="54" t="s">
        <v>5</v>
      </c>
      <c r="K143" s="68" t="s">
        <v>5</v>
      </c>
      <c r="L143" s="80">
        <f>SUM(L144:L144)</f>
        <v>0</v>
      </c>
      <c r="M143" s="27"/>
      <c r="AI143" s="27" t="s">
        <v>7</v>
      </c>
      <c r="AS143" s="80">
        <f>SUM(AJ144:AJ144)</f>
        <v>0</v>
      </c>
      <c r="AT143" s="80">
        <f>SUM(AK144:AK144)</f>
        <v>0</v>
      </c>
      <c r="AU143" s="80">
        <f>SUM(AL144:AL144)</f>
        <v>0</v>
      </c>
    </row>
    <row r="144" spans="1:62" x14ac:dyDescent="0.2">
      <c r="A144" s="18" t="s">
        <v>168</v>
      </c>
      <c r="B144" s="18" t="s">
        <v>7</v>
      </c>
      <c r="C144" s="18" t="s">
        <v>382</v>
      </c>
      <c r="D144" s="111" t="s">
        <v>638</v>
      </c>
      <c r="E144" s="112"/>
      <c r="F144" s="112"/>
      <c r="G144" s="112"/>
      <c r="H144" s="112"/>
      <c r="I144" s="18" t="s">
        <v>782</v>
      </c>
      <c r="J144" s="26">
        <v>13</v>
      </c>
      <c r="K144" s="69">
        <v>0</v>
      </c>
      <c r="L144" s="26">
        <f>J144*K144</f>
        <v>0</v>
      </c>
      <c r="M144" s="32" t="s">
        <v>874</v>
      </c>
      <c r="Z144" s="12">
        <f>IF(AQ144="5",BJ144,0)</f>
        <v>0</v>
      </c>
      <c r="AB144" s="12">
        <f>IF(AQ144="1",BH144,0)</f>
        <v>0</v>
      </c>
      <c r="AC144" s="12">
        <f>IF(AQ144="1",BI144,0)</f>
        <v>0</v>
      </c>
      <c r="AD144" s="12">
        <f>IF(AQ144="7",BH144,0)</f>
        <v>0</v>
      </c>
      <c r="AE144" s="12">
        <f>IF(AQ144="7",BI144,0)</f>
        <v>0</v>
      </c>
      <c r="AF144" s="12">
        <f>IF(AQ144="2",BH144,0)</f>
        <v>0</v>
      </c>
      <c r="AG144" s="12">
        <f>IF(AQ144="2",BI144,0)</f>
        <v>0</v>
      </c>
      <c r="AH144" s="12">
        <f>IF(AQ144="0",BJ144,0)</f>
        <v>0</v>
      </c>
      <c r="AI144" s="27" t="s">
        <v>7</v>
      </c>
      <c r="AJ144" s="26">
        <f>IF(AN144=0,L144,0)</f>
        <v>0</v>
      </c>
      <c r="AK144" s="26">
        <f>IF(AN144=15,L144,0)</f>
        <v>0</v>
      </c>
      <c r="AL144" s="26">
        <f>IF(AN144=21,L144,0)</f>
        <v>0</v>
      </c>
      <c r="AN144" s="12">
        <v>21</v>
      </c>
      <c r="AO144" s="12">
        <f>K144*0.644658158614403</f>
        <v>0</v>
      </c>
      <c r="AP144" s="12">
        <f>K144*(1-0.644658158614403)</f>
        <v>0</v>
      </c>
      <c r="AQ144" s="32" t="s">
        <v>85</v>
      </c>
      <c r="AV144" s="12">
        <f>AW144+AX144</f>
        <v>0</v>
      </c>
      <c r="AW144" s="12">
        <f>J144*AO144</f>
        <v>0</v>
      </c>
      <c r="AX144" s="12">
        <f>J144*AP144</f>
        <v>0</v>
      </c>
      <c r="AY144" s="78" t="s">
        <v>895</v>
      </c>
      <c r="AZ144" s="78" t="s">
        <v>916</v>
      </c>
      <c r="BA144" s="27" t="s">
        <v>928</v>
      </c>
      <c r="BC144" s="12">
        <f>AW144+AX144</f>
        <v>0</v>
      </c>
      <c r="BD144" s="12">
        <f>K144/(100-BE144)*100</f>
        <v>0</v>
      </c>
      <c r="BE144" s="12">
        <v>0</v>
      </c>
      <c r="BF144" s="12">
        <f>144</f>
        <v>144</v>
      </c>
      <c r="BH144" s="26">
        <f>J144*AO144</f>
        <v>0</v>
      </c>
      <c r="BI144" s="26">
        <f>J144*AP144</f>
        <v>0</v>
      </c>
      <c r="BJ144" s="26">
        <f>J144*K144</f>
        <v>0</v>
      </c>
    </row>
    <row r="145" spans="1:62" x14ac:dyDescent="0.2">
      <c r="A145" s="54"/>
      <c r="B145" s="19" t="s">
        <v>7</v>
      </c>
      <c r="C145" s="19" t="s">
        <v>22</v>
      </c>
      <c r="D145" s="117" t="s">
        <v>51</v>
      </c>
      <c r="E145" s="118"/>
      <c r="F145" s="118"/>
      <c r="G145" s="118"/>
      <c r="H145" s="118"/>
      <c r="I145" s="54" t="s">
        <v>5</v>
      </c>
      <c r="J145" s="54" t="s">
        <v>5</v>
      </c>
      <c r="K145" s="68" t="s">
        <v>5</v>
      </c>
      <c r="L145" s="80">
        <f>SUM(L146:L146)</f>
        <v>0</v>
      </c>
      <c r="M145" s="27"/>
      <c r="AI145" s="27" t="s">
        <v>7</v>
      </c>
      <c r="AS145" s="80">
        <f>SUM(AJ146:AJ146)</f>
        <v>0</v>
      </c>
      <c r="AT145" s="80">
        <f>SUM(AK146:AK146)</f>
        <v>0</v>
      </c>
      <c r="AU145" s="80">
        <f>SUM(AL146:AL146)</f>
        <v>0</v>
      </c>
    </row>
    <row r="146" spans="1:62" x14ac:dyDescent="0.2">
      <c r="A146" s="18" t="s">
        <v>169</v>
      </c>
      <c r="B146" s="18" t="s">
        <v>7</v>
      </c>
      <c r="C146" s="18" t="s">
        <v>383</v>
      </c>
      <c r="D146" s="111" t="s">
        <v>639</v>
      </c>
      <c r="E146" s="112"/>
      <c r="F146" s="112"/>
      <c r="G146" s="112"/>
      <c r="H146" s="112"/>
      <c r="I146" s="18" t="s">
        <v>784</v>
      </c>
      <c r="J146" s="26">
        <v>2</v>
      </c>
      <c r="K146" s="69">
        <v>0</v>
      </c>
      <c r="L146" s="26">
        <f>J146*K146</f>
        <v>0</v>
      </c>
      <c r="M146" s="32" t="s">
        <v>876</v>
      </c>
      <c r="Z146" s="12">
        <f>IF(AQ146="5",BJ146,0)</f>
        <v>0</v>
      </c>
      <c r="AB146" s="12">
        <f>IF(AQ146="1",BH146,0)</f>
        <v>0</v>
      </c>
      <c r="AC146" s="12">
        <f>IF(AQ146="1",BI146,0)</f>
        <v>0</v>
      </c>
      <c r="AD146" s="12">
        <f>IF(AQ146="7",BH146,0)</f>
        <v>0</v>
      </c>
      <c r="AE146" s="12">
        <f>IF(AQ146="7",BI146,0)</f>
        <v>0</v>
      </c>
      <c r="AF146" s="12">
        <f>IF(AQ146="2",BH146,0)</f>
        <v>0</v>
      </c>
      <c r="AG146" s="12">
        <f>IF(AQ146="2",BI146,0)</f>
        <v>0</v>
      </c>
      <c r="AH146" s="12">
        <f>IF(AQ146="0",BJ146,0)</f>
        <v>0</v>
      </c>
      <c r="AI146" s="27" t="s">
        <v>7</v>
      </c>
      <c r="AJ146" s="26">
        <f>IF(AN146=0,L146,0)</f>
        <v>0</v>
      </c>
      <c r="AK146" s="26">
        <f>IF(AN146=15,L146,0)</f>
        <v>0</v>
      </c>
      <c r="AL146" s="26">
        <f>IF(AN146=21,L146,0)</f>
        <v>0</v>
      </c>
      <c r="AN146" s="12">
        <v>21</v>
      </c>
      <c r="AO146" s="12">
        <f>K146*0.594622738382772</f>
        <v>0</v>
      </c>
      <c r="AP146" s="12">
        <f>K146*(1-0.594622738382772)</f>
        <v>0</v>
      </c>
      <c r="AQ146" s="32" t="s">
        <v>85</v>
      </c>
      <c r="AV146" s="12">
        <f>AW146+AX146</f>
        <v>0</v>
      </c>
      <c r="AW146" s="12">
        <f>J146*AO146</f>
        <v>0</v>
      </c>
      <c r="AX146" s="12">
        <f>J146*AP146</f>
        <v>0</v>
      </c>
      <c r="AY146" s="78" t="s">
        <v>896</v>
      </c>
      <c r="AZ146" s="78" t="s">
        <v>917</v>
      </c>
      <c r="BA146" s="27" t="s">
        <v>928</v>
      </c>
      <c r="BC146" s="12">
        <f>AW146+AX146</f>
        <v>0</v>
      </c>
      <c r="BD146" s="12">
        <f>K146/(100-BE146)*100</f>
        <v>0</v>
      </c>
      <c r="BE146" s="12">
        <v>0</v>
      </c>
      <c r="BF146" s="12">
        <f>146</f>
        <v>146</v>
      </c>
      <c r="BH146" s="26">
        <f>J146*AO146</f>
        <v>0</v>
      </c>
      <c r="BI146" s="26">
        <f>J146*AP146</f>
        <v>0</v>
      </c>
      <c r="BJ146" s="26">
        <f>J146*K146</f>
        <v>0</v>
      </c>
    </row>
    <row r="147" spans="1:62" x14ac:dyDescent="0.2">
      <c r="A147" s="54"/>
      <c r="B147" s="19" t="s">
        <v>7</v>
      </c>
      <c r="C147" s="19" t="s">
        <v>23</v>
      </c>
      <c r="D147" s="117" t="s">
        <v>52</v>
      </c>
      <c r="E147" s="118"/>
      <c r="F147" s="118"/>
      <c r="G147" s="118"/>
      <c r="H147" s="118"/>
      <c r="I147" s="54" t="s">
        <v>5</v>
      </c>
      <c r="J147" s="54" t="s">
        <v>5</v>
      </c>
      <c r="K147" s="68" t="s">
        <v>5</v>
      </c>
      <c r="L147" s="80">
        <f>SUM(L148:L156)</f>
        <v>0</v>
      </c>
      <c r="M147" s="27"/>
      <c r="AI147" s="27" t="s">
        <v>7</v>
      </c>
      <c r="AS147" s="80">
        <f>SUM(AJ148:AJ156)</f>
        <v>0</v>
      </c>
      <c r="AT147" s="80">
        <f>SUM(AK148:AK156)</f>
        <v>0</v>
      </c>
      <c r="AU147" s="80">
        <f>SUM(AL148:AL156)</f>
        <v>0</v>
      </c>
    </row>
    <row r="148" spans="1:62" x14ac:dyDescent="0.2">
      <c r="A148" s="18" t="s">
        <v>170</v>
      </c>
      <c r="B148" s="18" t="s">
        <v>7</v>
      </c>
      <c r="C148" s="18" t="s">
        <v>386</v>
      </c>
      <c r="D148" s="111" t="s">
        <v>644</v>
      </c>
      <c r="E148" s="112"/>
      <c r="F148" s="112"/>
      <c r="G148" s="112"/>
      <c r="H148" s="112"/>
      <c r="I148" s="18" t="s">
        <v>783</v>
      </c>
      <c r="J148" s="26">
        <v>80</v>
      </c>
      <c r="K148" s="69">
        <v>0</v>
      </c>
      <c r="L148" s="26">
        <f>J148*K148</f>
        <v>0</v>
      </c>
      <c r="M148" s="32" t="s">
        <v>874</v>
      </c>
      <c r="Z148" s="12">
        <f>IF(AQ148="5",BJ148,0)</f>
        <v>0</v>
      </c>
      <c r="AB148" s="12">
        <f>IF(AQ148="1",BH148,0)</f>
        <v>0</v>
      </c>
      <c r="AC148" s="12">
        <f>IF(AQ148="1",BI148,0)</f>
        <v>0</v>
      </c>
      <c r="AD148" s="12">
        <f>IF(AQ148="7",BH148,0)</f>
        <v>0</v>
      </c>
      <c r="AE148" s="12">
        <f>IF(AQ148="7",BI148,0)</f>
        <v>0</v>
      </c>
      <c r="AF148" s="12">
        <f>IF(AQ148="2",BH148,0)</f>
        <v>0</v>
      </c>
      <c r="AG148" s="12">
        <f>IF(AQ148="2",BI148,0)</f>
        <v>0</v>
      </c>
      <c r="AH148" s="12">
        <f>IF(AQ148="0",BJ148,0)</f>
        <v>0</v>
      </c>
      <c r="AI148" s="27" t="s">
        <v>7</v>
      </c>
      <c r="AJ148" s="26">
        <f>IF(AN148=0,L148,0)</f>
        <v>0</v>
      </c>
      <c r="AK148" s="26">
        <f>IF(AN148=15,L148,0)</f>
        <v>0</v>
      </c>
      <c r="AL148" s="26">
        <f>IF(AN148=21,L148,0)</f>
        <v>0</v>
      </c>
      <c r="AN148" s="12">
        <v>21</v>
      </c>
      <c r="AO148" s="12">
        <f>K148*0.817885117493473</f>
        <v>0</v>
      </c>
      <c r="AP148" s="12">
        <f>K148*(1-0.817885117493473)</f>
        <v>0</v>
      </c>
      <c r="AQ148" s="32" t="s">
        <v>85</v>
      </c>
      <c r="AV148" s="12">
        <f>AW148+AX148</f>
        <v>0</v>
      </c>
      <c r="AW148" s="12">
        <f>J148*AO148</f>
        <v>0</v>
      </c>
      <c r="AX148" s="12">
        <f>J148*AP148</f>
        <v>0</v>
      </c>
      <c r="AY148" s="78" t="s">
        <v>897</v>
      </c>
      <c r="AZ148" s="78" t="s">
        <v>918</v>
      </c>
      <c r="BA148" s="27" t="s">
        <v>928</v>
      </c>
      <c r="BC148" s="12">
        <f>AW148+AX148</f>
        <v>0</v>
      </c>
      <c r="BD148" s="12">
        <f>K148/(100-BE148)*100</f>
        <v>0</v>
      </c>
      <c r="BE148" s="12">
        <v>0</v>
      </c>
      <c r="BF148" s="12">
        <f>148</f>
        <v>148</v>
      </c>
      <c r="BH148" s="26">
        <f>J148*AO148</f>
        <v>0</v>
      </c>
      <c r="BI148" s="26">
        <f>J148*AP148</f>
        <v>0</v>
      </c>
      <c r="BJ148" s="26">
        <f>J148*K148</f>
        <v>0</v>
      </c>
    </row>
    <row r="149" spans="1:62" x14ac:dyDescent="0.2">
      <c r="D149" s="157" t="s">
        <v>852</v>
      </c>
      <c r="E149" s="158"/>
      <c r="F149" s="158"/>
      <c r="G149" s="158"/>
      <c r="H149" s="158"/>
      <c r="K149" s="71"/>
    </row>
    <row r="150" spans="1:62" x14ac:dyDescent="0.2">
      <c r="A150" s="18" t="s">
        <v>171</v>
      </c>
      <c r="B150" s="18" t="s">
        <v>7</v>
      </c>
      <c r="C150" s="18" t="s">
        <v>384</v>
      </c>
      <c r="D150" s="111" t="s">
        <v>640</v>
      </c>
      <c r="E150" s="112"/>
      <c r="F150" s="112"/>
      <c r="G150" s="112"/>
      <c r="H150" s="112"/>
      <c r="I150" s="18" t="s">
        <v>783</v>
      </c>
      <c r="J150" s="26">
        <v>654</v>
      </c>
      <c r="K150" s="69">
        <v>0</v>
      </c>
      <c r="L150" s="26">
        <f>J150*K150</f>
        <v>0</v>
      </c>
      <c r="M150" s="32" t="s">
        <v>874</v>
      </c>
      <c r="Z150" s="12">
        <f>IF(AQ150="5",BJ150,0)</f>
        <v>0</v>
      </c>
      <c r="AB150" s="12">
        <f>IF(AQ150="1",BH150,0)</f>
        <v>0</v>
      </c>
      <c r="AC150" s="12">
        <f>IF(AQ150="1",BI150,0)</f>
        <v>0</v>
      </c>
      <c r="AD150" s="12">
        <f>IF(AQ150="7",BH150,0)</f>
        <v>0</v>
      </c>
      <c r="AE150" s="12">
        <f>IF(AQ150="7",BI150,0)</f>
        <v>0</v>
      </c>
      <c r="AF150" s="12">
        <f>IF(AQ150="2",BH150,0)</f>
        <v>0</v>
      </c>
      <c r="AG150" s="12">
        <f>IF(AQ150="2",BI150,0)</f>
        <v>0</v>
      </c>
      <c r="AH150" s="12">
        <f>IF(AQ150="0",BJ150,0)</f>
        <v>0</v>
      </c>
      <c r="AI150" s="27" t="s">
        <v>7</v>
      </c>
      <c r="AJ150" s="26">
        <f>IF(AN150=0,L150,0)</f>
        <v>0</v>
      </c>
      <c r="AK150" s="26">
        <f>IF(AN150=15,L150,0)</f>
        <v>0</v>
      </c>
      <c r="AL150" s="26">
        <f>IF(AN150=21,L150,0)</f>
        <v>0</v>
      </c>
      <c r="AN150" s="12">
        <v>21</v>
      </c>
      <c r="AO150" s="12">
        <f>K150*0.854252873563218</f>
        <v>0</v>
      </c>
      <c r="AP150" s="12">
        <f>K150*(1-0.854252873563218)</f>
        <v>0</v>
      </c>
      <c r="AQ150" s="32" t="s">
        <v>85</v>
      </c>
      <c r="AV150" s="12">
        <f>AW150+AX150</f>
        <v>0</v>
      </c>
      <c r="AW150" s="12">
        <f>J150*AO150</f>
        <v>0</v>
      </c>
      <c r="AX150" s="12">
        <f>J150*AP150</f>
        <v>0</v>
      </c>
      <c r="AY150" s="78" t="s">
        <v>897</v>
      </c>
      <c r="AZ150" s="78" t="s">
        <v>918</v>
      </c>
      <c r="BA150" s="27" t="s">
        <v>928</v>
      </c>
      <c r="BC150" s="12">
        <f>AW150+AX150</f>
        <v>0</v>
      </c>
      <c r="BD150" s="12">
        <f>K150/(100-BE150)*100</f>
        <v>0</v>
      </c>
      <c r="BE150" s="12">
        <v>0</v>
      </c>
      <c r="BF150" s="12">
        <f>150</f>
        <v>150</v>
      </c>
      <c r="BH150" s="26">
        <f>J150*AO150</f>
        <v>0</v>
      </c>
      <c r="BI150" s="26">
        <f>J150*AP150</f>
        <v>0</v>
      </c>
      <c r="BJ150" s="26">
        <f>J150*K150</f>
        <v>0</v>
      </c>
    </row>
    <row r="151" spans="1:62" x14ac:dyDescent="0.2">
      <c r="D151" s="157" t="s">
        <v>853</v>
      </c>
      <c r="E151" s="158"/>
      <c r="F151" s="158"/>
      <c r="G151" s="158"/>
      <c r="H151" s="158"/>
      <c r="K151" s="71"/>
    </row>
    <row r="152" spans="1:62" x14ac:dyDescent="0.2">
      <c r="A152" s="18" t="s">
        <v>172</v>
      </c>
      <c r="B152" s="18" t="s">
        <v>7</v>
      </c>
      <c r="C152" s="18" t="s">
        <v>385</v>
      </c>
      <c r="D152" s="111" t="s">
        <v>640</v>
      </c>
      <c r="E152" s="112"/>
      <c r="F152" s="112"/>
      <c r="G152" s="112"/>
      <c r="H152" s="112"/>
      <c r="I152" s="18" t="s">
        <v>783</v>
      </c>
      <c r="J152" s="26">
        <v>821.67</v>
      </c>
      <c r="K152" s="69">
        <v>0</v>
      </c>
      <c r="L152" s="26">
        <f>J152*K152</f>
        <v>0</v>
      </c>
      <c r="M152" s="32" t="s">
        <v>874</v>
      </c>
      <c r="Z152" s="12">
        <f>IF(AQ152="5",BJ152,0)</f>
        <v>0</v>
      </c>
      <c r="AB152" s="12">
        <f>IF(AQ152="1",BH152,0)</f>
        <v>0</v>
      </c>
      <c r="AC152" s="12">
        <f>IF(AQ152="1",BI152,0)</f>
        <v>0</v>
      </c>
      <c r="AD152" s="12">
        <f>IF(AQ152="7",BH152,0)</f>
        <v>0</v>
      </c>
      <c r="AE152" s="12">
        <f>IF(AQ152="7",BI152,0)</f>
        <v>0</v>
      </c>
      <c r="AF152" s="12">
        <f>IF(AQ152="2",BH152,0)</f>
        <v>0</v>
      </c>
      <c r="AG152" s="12">
        <f>IF(AQ152="2",BI152,0)</f>
        <v>0</v>
      </c>
      <c r="AH152" s="12">
        <f>IF(AQ152="0",BJ152,0)</f>
        <v>0</v>
      </c>
      <c r="AI152" s="27" t="s">
        <v>7</v>
      </c>
      <c r="AJ152" s="26">
        <f>IF(AN152=0,L152,0)</f>
        <v>0</v>
      </c>
      <c r="AK152" s="26">
        <f>IF(AN152=15,L152,0)</f>
        <v>0</v>
      </c>
      <c r="AL152" s="26">
        <f>IF(AN152=21,L152,0)</f>
        <v>0</v>
      </c>
      <c r="AN152" s="12">
        <v>21</v>
      </c>
      <c r="AO152" s="12">
        <f>K152*0.863288381384071</f>
        <v>0</v>
      </c>
      <c r="AP152" s="12">
        <f>K152*(1-0.863288381384071)</f>
        <v>0</v>
      </c>
      <c r="AQ152" s="32" t="s">
        <v>85</v>
      </c>
      <c r="AV152" s="12">
        <f>AW152+AX152</f>
        <v>0</v>
      </c>
      <c r="AW152" s="12">
        <f>J152*AO152</f>
        <v>0</v>
      </c>
      <c r="AX152" s="12">
        <f>J152*AP152</f>
        <v>0</v>
      </c>
      <c r="AY152" s="78" t="s">
        <v>897</v>
      </c>
      <c r="AZ152" s="78" t="s">
        <v>918</v>
      </c>
      <c r="BA152" s="27" t="s">
        <v>928</v>
      </c>
      <c r="BC152" s="12">
        <f>AW152+AX152</f>
        <v>0</v>
      </c>
      <c r="BD152" s="12">
        <f>K152/(100-BE152)*100</f>
        <v>0</v>
      </c>
      <c r="BE152" s="12">
        <v>0</v>
      </c>
      <c r="BF152" s="12">
        <f>152</f>
        <v>152</v>
      </c>
      <c r="BH152" s="26">
        <f>J152*AO152</f>
        <v>0</v>
      </c>
      <c r="BI152" s="26">
        <f>J152*AP152</f>
        <v>0</v>
      </c>
      <c r="BJ152" s="26">
        <f>J152*K152</f>
        <v>0</v>
      </c>
    </row>
    <row r="153" spans="1:62" x14ac:dyDescent="0.2">
      <c r="D153" s="157" t="s">
        <v>854</v>
      </c>
      <c r="E153" s="158"/>
      <c r="F153" s="158"/>
      <c r="G153" s="158"/>
      <c r="H153" s="158"/>
      <c r="K153" s="71"/>
    </row>
    <row r="154" spans="1:62" x14ac:dyDescent="0.2">
      <c r="A154" s="18" t="s">
        <v>173</v>
      </c>
      <c r="B154" s="18" t="s">
        <v>7</v>
      </c>
      <c r="C154" s="18" t="s">
        <v>386</v>
      </c>
      <c r="D154" s="111" t="s">
        <v>644</v>
      </c>
      <c r="E154" s="112"/>
      <c r="F154" s="112"/>
      <c r="G154" s="112"/>
      <c r="H154" s="112"/>
      <c r="I154" s="18" t="s">
        <v>783</v>
      </c>
      <c r="J154" s="26">
        <v>39.299999999999997</v>
      </c>
      <c r="K154" s="69">
        <v>0</v>
      </c>
      <c r="L154" s="26">
        <f>J154*K154</f>
        <v>0</v>
      </c>
      <c r="M154" s="32" t="s">
        <v>874</v>
      </c>
      <c r="Z154" s="12">
        <f>IF(AQ154="5",BJ154,0)</f>
        <v>0</v>
      </c>
      <c r="AB154" s="12">
        <f>IF(AQ154="1",BH154,0)</f>
        <v>0</v>
      </c>
      <c r="AC154" s="12">
        <f>IF(AQ154="1",BI154,0)</f>
        <v>0</v>
      </c>
      <c r="AD154" s="12">
        <f>IF(AQ154="7",BH154,0)</f>
        <v>0</v>
      </c>
      <c r="AE154" s="12">
        <f>IF(AQ154="7",BI154,0)</f>
        <v>0</v>
      </c>
      <c r="AF154" s="12">
        <f>IF(AQ154="2",BH154,0)</f>
        <v>0</v>
      </c>
      <c r="AG154" s="12">
        <f>IF(AQ154="2",BI154,0)</f>
        <v>0</v>
      </c>
      <c r="AH154" s="12">
        <f>IF(AQ154="0",BJ154,0)</f>
        <v>0</v>
      </c>
      <c r="AI154" s="27" t="s">
        <v>7</v>
      </c>
      <c r="AJ154" s="26">
        <f>IF(AN154=0,L154,0)</f>
        <v>0</v>
      </c>
      <c r="AK154" s="26">
        <f>IF(AN154=15,L154,0)</f>
        <v>0</v>
      </c>
      <c r="AL154" s="26">
        <f>IF(AN154=21,L154,0)</f>
        <v>0</v>
      </c>
      <c r="AN154" s="12">
        <v>21</v>
      </c>
      <c r="AO154" s="12">
        <f>K154*0.817885117493473</f>
        <v>0</v>
      </c>
      <c r="AP154" s="12">
        <f>K154*(1-0.817885117493473)</f>
        <v>0</v>
      </c>
      <c r="AQ154" s="32" t="s">
        <v>85</v>
      </c>
      <c r="AV154" s="12">
        <f>AW154+AX154</f>
        <v>0</v>
      </c>
      <c r="AW154" s="12">
        <f>J154*AO154</f>
        <v>0</v>
      </c>
      <c r="AX154" s="12">
        <f>J154*AP154</f>
        <v>0</v>
      </c>
      <c r="AY154" s="78" t="s">
        <v>897</v>
      </c>
      <c r="AZ154" s="78" t="s">
        <v>918</v>
      </c>
      <c r="BA154" s="27" t="s">
        <v>928</v>
      </c>
      <c r="BC154" s="12">
        <f>AW154+AX154</f>
        <v>0</v>
      </c>
      <c r="BD154" s="12">
        <f>K154/(100-BE154)*100</f>
        <v>0</v>
      </c>
      <c r="BE154" s="12">
        <v>0</v>
      </c>
      <c r="BF154" s="12">
        <f>154</f>
        <v>154</v>
      </c>
      <c r="BH154" s="26">
        <f>J154*AO154</f>
        <v>0</v>
      </c>
      <c r="BI154" s="26">
        <f>J154*AP154</f>
        <v>0</v>
      </c>
      <c r="BJ154" s="26">
        <f>J154*K154</f>
        <v>0</v>
      </c>
    </row>
    <row r="155" spans="1:62" x14ac:dyDescent="0.2">
      <c r="A155" s="18" t="s">
        <v>174</v>
      </c>
      <c r="B155" s="18" t="s">
        <v>7</v>
      </c>
      <c r="C155" s="18" t="s">
        <v>387</v>
      </c>
      <c r="D155" s="111" t="s">
        <v>645</v>
      </c>
      <c r="E155" s="112"/>
      <c r="F155" s="112"/>
      <c r="G155" s="112"/>
      <c r="H155" s="112"/>
      <c r="I155" s="18" t="s">
        <v>783</v>
      </c>
      <c r="J155" s="26">
        <v>119.3</v>
      </c>
      <c r="K155" s="69">
        <v>0</v>
      </c>
      <c r="L155" s="26">
        <f>J155*K155</f>
        <v>0</v>
      </c>
      <c r="M155" s="32" t="s">
        <v>874</v>
      </c>
      <c r="Z155" s="12">
        <f>IF(AQ155="5",BJ155,0)</f>
        <v>0</v>
      </c>
      <c r="AB155" s="12">
        <f>IF(AQ155="1",BH155,0)</f>
        <v>0</v>
      </c>
      <c r="AC155" s="12">
        <f>IF(AQ155="1",BI155,0)</f>
        <v>0</v>
      </c>
      <c r="AD155" s="12">
        <f>IF(AQ155="7",BH155,0)</f>
        <v>0</v>
      </c>
      <c r="AE155" s="12">
        <f>IF(AQ155="7",BI155,0)</f>
        <v>0</v>
      </c>
      <c r="AF155" s="12">
        <f>IF(AQ155="2",BH155,0)</f>
        <v>0</v>
      </c>
      <c r="AG155" s="12">
        <f>IF(AQ155="2",BI155,0)</f>
        <v>0</v>
      </c>
      <c r="AH155" s="12">
        <f>IF(AQ155="0",BJ155,0)</f>
        <v>0</v>
      </c>
      <c r="AI155" s="27" t="s">
        <v>7</v>
      </c>
      <c r="AJ155" s="26">
        <f>IF(AN155=0,L155,0)</f>
        <v>0</v>
      </c>
      <c r="AK155" s="26">
        <f>IF(AN155=15,L155,0)</f>
        <v>0</v>
      </c>
      <c r="AL155" s="26">
        <f>IF(AN155=21,L155,0)</f>
        <v>0</v>
      </c>
      <c r="AN155" s="12">
        <v>21</v>
      </c>
      <c r="AO155" s="12">
        <f>K155*0</f>
        <v>0</v>
      </c>
      <c r="AP155" s="12">
        <f>K155*(1-0)</f>
        <v>0</v>
      </c>
      <c r="AQ155" s="32" t="s">
        <v>85</v>
      </c>
      <c r="AV155" s="12">
        <f>AW155+AX155</f>
        <v>0</v>
      </c>
      <c r="AW155" s="12">
        <f>J155*AO155</f>
        <v>0</v>
      </c>
      <c r="AX155" s="12">
        <f>J155*AP155</f>
        <v>0</v>
      </c>
      <c r="AY155" s="78" t="s">
        <v>897</v>
      </c>
      <c r="AZ155" s="78" t="s">
        <v>918</v>
      </c>
      <c r="BA155" s="27" t="s">
        <v>928</v>
      </c>
      <c r="BC155" s="12">
        <f>AW155+AX155</f>
        <v>0</v>
      </c>
      <c r="BD155" s="12">
        <f>K155/(100-BE155)*100</f>
        <v>0</v>
      </c>
      <c r="BE155" s="12">
        <v>0</v>
      </c>
      <c r="BF155" s="12">
        <f>155</f>
        <v>155</v>
      </c>
      <c r="BH155" s="26">
        <f>J155*AO155</f>
        <v>0</v>
      </c>
      <c r="BI155" s="26">
        <f>J155*AP155</f>
        <v>0</v>
      </c>
      <c r="BJ155" s="26">
        <f>J155*K155</f>
        <v>0</v>
      </c>
    </row>
    <row r="156" spans="1:62" x14ac:dyDescent="0.2">
      <c r="A156" s="20" t="s">
        <v>175</v>
      </c>
      <c r="B156" s="20" t="s">
        <v>7</v>
      </c>
      <c r="C156" s="20" t="s">
        <v>388</v>
      </c>
      <c r="D156" s="121" t="s">
        <v>647</v>
      </c>
      <c r="E156" s="122"/>
      <c r="F156" s="122"/>
      <c r="G156" s="122"/>
      <c r="H156" s="122"/>
      <c r="I156" s="20" t="s">
        <v>783</v>
      </c>
      <c r="J156" s="29">
        <v>131.22999999999999</v>
      </c>
      <c r="K156" s="70">
        <v>0</v>
      </c>
      <c r="L156" s="29">
        <f>J156*K156</f>
        <v>0</v>
      </c>
      <c r="M156" s="33" t="s">
        <v>874</v>
      </c>
      <c r="Z156" s="12">
        <f>IF(AQ156="5",BJ156,0)</f>
        <v>0</v>
      </c>
      <c r="AB156" s="12">
        <f>IF(AQ156="1",BH156,0)</f>
        <v>0</v>
      </c>
      <c r="AC156" s="12">
        <f>IF(AQ156="1",BI156,0)</f>
        <v>0</v>
      </c>
      <c r="AD156" s="12">
        <f>IF(AQ156="7",BH156,0)</f>
        <v>0</v>
      </c>
      <c r="AE156" s="12">
        <f>IF(AQ156="7",BI156,0)</f>
        <v>0</v>
      </c>
      <c r="AF156" s="12">
        <f>IF(AQ156="2",BH156,0)</f>
        <v>0</v>
      </c>
      <c r="AG156" s="12">
        <f>IF(AQ156="2",BI156,0)</f>
        <v>0</v>
      </c>
      <c r="AH156" s="12">
        <f>IF(AQ156="0",BJ156,0)</f>
        <v>0</v>
      </c>
      <c r="AI156" s="27" t="s">
        <v>7</v>
      </c>
      <c r="AJ156" s="29">
        <f>IF(AN156=0,L156,0)</f>
        <v>0</v>
      </c>
      <c r="AK156" s="29">
        <f>IF(AN156=15,L156,0)</f>
        <v>0</v>
      </c>
      <c r="AL156" s="29">
        <f>IF(AN156=21,L156,0)</f>
        <v>0</v>
      </c>
      <c r="AN156" s="12">
        <v>21</v>
      </c>
      <c r="AO156" s="12">
        <f>K156*1</f>
        <v>0</v>
      </c>
      <c r="AP156" s="12">
        <f>K156*(1-1)</f>
        <v>0</v>
      </c>
      <c r="AQ156" s="33" t="s">
        <v>85</v>
      </c>
      <c r="AV156" s="12">
        <f>AW156+AX156</f>
        <v>0</v>
      </c>
      <c r="AW156" s="12">
        <f>J156*AO156</f>
        <v>0</v>
      </c>
      <c r="AX156" s="12">
        <f>J156*AP156</f>
        <v>0</v>
      </c>
      <c r="AY156" s="78" t="s">
        <v>897</v>
      </c>
      <c r="AZ156" s="78" t="s">
        <v>918</v>
      </c>
      <c r="BA156" s="27" t="s">
        <v>928</v>
      </c>
      <c r="BC156" s="12">
        <f>AW156+AX156</f>
        <v>0</v>
      </c>
      <c r="BD156" s="12">
        <f>K156/(100-BE156)*100</f>
        <v>0</v>
      </c>
      <c r="BE156" s="12">
        <v>0</v>
      </c>
      <c r="BF156" s="12">
        <f>156</f>
        <v>156</v>
      </c>
      <c r="BH156" s="29">
        <f>J156*AO156</f>
        <v>0</v>
      </c>
      <c r="BI156" s="29">
        <f>J156*AP156</f>
        <v>0</v>
      </c>
      <c r="BJ156" s="29">
        <f>J156*K156</f>
        <v>0</v>
      </c>
    </row>
    <row r="157" spans="1:62" ht="38.450000000000003" customHeight="1" x14ac:dyDescent="0.2">
      <c r="C157" s="62" t="s">
        <v>296</v>
      </c>
      <c r="D157" s="113" t="s">
        <v>649</v>
      </c>
      <c r="E157" s="114"/>
      <c r="F157" s="114"/>
      <c r="G157" s="114"/>
      <c r="H157" s="114"/>
      <c r="I157" s="114"/>
      <c r="J157" s="114"/>
      <c r="K157" s="154"/>
      <c r="L157" s="114"/>
      <c r="M157" s="114"/>
    </row>
    <row r="158" spans="1:62" x14ac:dyDescent="0.2">
      <c r="A158" s="54"/>
      <c r="B158" s="19" t="s">
        <v>7</v>
      </c>
      <c r="C158" s="19" t="s">
        <v>24</v>
      </c>
      <c r="D158" s="117" t="s">
        <v>53</v>
      </c>
      <c r="E158" s="118"/>
      <c r="F158" s="118"/>
      <c r="G158" s="118"/>
      <c r="H158" s="118"/>
      <c r="I158" s="54" t="s">
        <v>5</v>
      </c>
      <c r="J158" s="54" t="s">
        <v>5</v>
      </c>
      <c r="K158" s="68" t="s">
        <v>5</v>
      </c>
      <c r="L158" s="80">
        <f>SUM(L159:L164)</f>
        <v>0</v>
      </c>
      <c r="M158" s="27"/>
      <c r="AI158" s="27" t="s">
        <v>7</v>
      </c>
      <c r="AS158" s="80">
        <f>SUM(AJ159:AJ164)</f>
        <v>0</v>
      </c>
      <c r="AT158" s="80">
        <f>SUM(AK159:AK164)</f>
        <v>0</v>
      </c>
      <c r="AU158" s="80">
        <f>SUM(AL159:AL164)</f>
        <v>0</v>
      </c>
    </row>
    <row r="159" spans="1:62" x14ac:dyDescent="0.2">
      <c r="A159" s="18" t="s">
        <v>176</v>
      </c>
      <c r="B159" s="18" t="s">
        <v>7</v>
      </c>
      <c r="C159" s="18" t="s">
        <v>389</v>
      </c>
      <c r="D159" s="111" t="s">
        <v>650</v>
      </c>
      <c r="E159" s="112"/>
      <c r="F159" s="112"/>
      <c r="G159" s="112"/>
      <c r="H159" s="112"/>
      <c r="I159" s="18" t="s">
        <v>783</v>
      </c>
      <c r="J159" s="26">
        <v>622</v>
      </c>
      <c r="K159" s="69">
        <v>0</v>
      </c>
      <c r="L159" s="26">
        <f>J159*K159</f>
        <v>0</v>
      </c>
      <c r="M159" s="32" t="s">
        <v>874</v>
      </c>
      <c r="Z159" s="12">
        <f>IF(AQ159="5",BJ159,0)</f>
        <v>0</v>
      </c>
      <c r="AB159" s="12">
        <f>IF(AQ159="1",BH159,0)</f>
        <v>0</v>
      </c>
      <c r="AC159" s="12">
        <f>IF(AQ159="1",BI159,0)</f>
        <v>0</v>
      </c>
      <c r="AD159" s="12">
        <f>IF(AQ159="7",BH159,0)</f>
        <v>0</v>
      </c>
      <c r="AE159" s="12">
        <f>IF(AQ159="7",BI159,0)</f>
        <v>0</v>
      </c>
      <c r="AF159" s="12">
        <f>IF(AQ159="2",BH159,0)</f>
        <v>0</v>
      </c>
      <c r="AG159" s="12">
        <f>IF(AQ159="2",BI159,0)</f>
        <v>0</v>
      </c>
      <c r="AH159" s="12">
        <f>IF(AQ159="0",BJ159,0)</f>
        <v>0</v>
      </c>
      <c r="AI159" s="27" t="s">
        <v>7</v>
      </c>
      <c r="AJ159" s="26">
        <f>IF(AN159=0,L159,0)</f>
        <v>0</v>
      </c>
      <c r="AK159" s="26">
        <f>IF(AN159=15,L159,0)</f>
        <v>0</v>
      </c>
      <c r="AL159" s="26">
        <f>IF(AN159=21,L159,0)</f>
        <v>0</v>
      </c>
      <c r="AN159" s="12">
        <v>21</v>
      </c>
      <c r="AO159" s="12">
        <f>K159*0.626095165049116</f>
        <v>0</v>
      </c>
      <c r="AP159" s="12">
        <f>K159*(1-0.626095165049116)</f>
        <v>0</v>
      </c>
      <c r="AQ159" s="32" t="s">
        <v>85</v>
      </c>
      <c r="AV159" s="12">
        <f>AW159+AX159</f>
        <v>0</v>
      </c>
      <c r="AW159" s="12">
        <f>J159*AO159</f>
        <v>0</v>
      </c>
      <c r="AX159" s="12">
        <f>J159*AP159</f>
        <v>0</v>
      </c>
      <c r="AY159" s="78" t="s">
        <v>898</v>
      </c>
      <c r="AZ159" s="78" t="s">
        <v>918</v>
      </c>
      <c r="BA159" s="27" t="s">
        <v>928</v>
      </c>
      <c r="BC159" s="12">
        <f>AW159+AX159</f>
        <v>0</v>
      </c>
      <c r="BD159" s="12">
        <f>K159/(100-BE159)*100</f>
        <v>0</v>
      </c>
      <c r="BE159" s="12">
        <v>0</v>
      </c>
      <c r="BF159" s="12">
        <f>159</f>
        <v>159</v>
      </c>
      <c r="BH159" s="26">
        <f>J159*AO159</f>
        <v>0</v>
      </c>
      <c r="BI159" s="26">
        <f>J159*AP159</f>
        <v>0</v>
      </c>
      <c r="BJ159" s="26">
        <f>J159*K159</f>
        <v>0</v>
      </c>
    </row>
    <row r="160" spans="1:62" x14ac:dyDescent="0.2">
      <c r="D160" s="157" t="s">
        <v>855</v>
      </c>
      <c r="E160" s="158"/>
      <c r="F160" s="158"/>
      <c r="G160" s="158"/>
      <c r="H160" s="158"/>
      <c r="K160" s="71"/>
    </row>
    <row r="161" spans="1:62" x14ac:dyDescent="0.2">
      <c r="A161" s="18" t="s">
        <v>177</v>
      </c>
      <c r="B161" s="18" t="s">
        <v>7</v>
      </c>
      <c r="C161" s="18" t="s">
        <v>390</v>
      </c>
      <c r="D161" s="111" t="s">
        <v>651</v>
      </c>
      <c r="E161" s="112"/>
      <c r="F161" s="112"/>
      <c r="G161" s="112"/>
      <c r="H161" s="112"/>
      <c r="I161" s="18" t="s">
        <v>783</v>
      </c>
      <c r="J161" s="26">
        <v>622</v>
      </c>
      <c r="K161" s="69">
        <v>0</v>
      </c>
      <c r="L161" s="26">
        <f>J161*K161</f>
        <v>0</v>
      </c>
      <c r="M161" s="32" t="s">
        <v>874</v>
      </c>
      <c r="Z161" s="12">
        <f>IF(AQ161="5",BJ161,0)</f>
        <v>0</v>
      </c>
      <c r="AB161" s="12">
        <f>IF(AQ161="1",BH161,0)</f>
        <v>0</v>
      </c>
      <c r="AC161" s="12">
        <f>IF(AQ161="1",BI161,0)</f>
        <v>0</v>
      </c>
      <c r="AD161" s="12">
        <f>IF(AQ161="7",BH161,0)</f>
        <v>0</v>
      </c>
      <c r="AE161" s="12">
        <f>IF(AQ161="7",BI161,0)</f>
        <v>0</v>
      </c>
      <c r="AF161" s="12">
        <f>IF(AQ161="2",BH161,0)</f>
        <v>0</v>
      </c>
      <c r="AG161" s="12">
        <f>IF(AQ161="2",BI161,0)</f>
        <v>0</v>
      </c>
      <c r="AH161" s="12">
        <f>IF(AQ161="0",BJ161,0)</f>
        <v>0</v>
      </c>
      <c r="AI161" s="27" t="s">
        <v>7</v>
      </c>
      <c r="AJ161" s="26">
        <f>IF(AN161=0,L161,0)</f>
        <v>0</v>
      </c>
      <c r="AK161" s="26">
        <f>IF(AN161=15,L161,0)</f>
        <v>0</v>
      </c>
      <c r="AL161" s="26">
        <f>IF(AN161=21,L161,0)</f>
        <v>0</v>
      </c>
      <c r="AN161" s="12">
        <v>21</v>
      </c>
      <c r="AO161" s="12">
        <f>K161*0.919319022945966</f>
        <v>0</v>
      </c>
      <c r="AP161" s="12">
        <f>K161*(1-0.919319022945966)</f>
        <v>0</v>
      </c>
      <c r="AQ161" s="32" t="s">
        <v>85</v>
      </c>
      <c r="AV161" s="12">
        <f>AW161+AX161</f>
        <v>0</v>
      </c>
      <c r="AW161" s="12">
        <f>J161*AO161</f>
        <v>0</v>
      </c>
      <c r="AX161" s="12">
        <f>J161*AP161</f>
        <v>0</v>
      </c>
      <c r="AY161" s="78" t="s">
        <v>898</v>
      </c>
      <c r="AZ161" s="78" t="s">
        <v>918</v>
      </c>
      <c r="BA161" s="27" t="s">
        <v>928</v>
      </c>
      <c r="BC161" s="12">
        <f>AW161+AX161</f>
        <v>0</v>
      </c>
      <c r="BD161" s="12">
        <f>K161/(100-BE161)*100</f>
        <v>0</v>
      </c>
      <c r="BE161" s="12">
        <v>0</v>
      </c>
      <c r="BF161" s="12">
        <f>161</f>
        <v>161</v>
      </c>
      <c r="BH161" s="26">
        <f>J161*AO161</f>
        <v>0</v>
      </c>
      <c r="BI161" s="26">
        <f>J161*AP161</f>
        <v>0</v>
      </c>
      <c r="BJ161" s="26">
        <f>J161*K161</f>
        <v>0</v>
      </c>
    </row>
    <row r="162" spans="1:62" x14ac:dyDescent="0.2">
      <c r="A162" s="18" t="s">
        <v>178</v>
      </c>
      <c r="B162" s="18" t="s">
        <v>7</v>
      </c>
      <c r="C162" s="18" t="s">
        <v>391</v>
      </c>
      <c r="D162" s="111" t="s">
        <v>652</v>
      </c>
      <c r="E162" s="112"/>
      <c r="F162" s="112"/>
      <c r="G162" s="112"/>
      <c r="H162" s="112"/>
      <c r="I162" s="18" t="s">
        <v>783</v>
      </c>
      <c r="J162" s="26">
        <v>622</v>
      </c>
      <c r="K162" s="69">
        <v>0</v>
      </c>
      <c r="L162" s="26">
        <f>J162*K162</f>
        <v>0</v>
      </c>
      <c r="M162" s="32" t="s">
        <v>874</v>
      </c>
      <c r="Z162" s="12">
        <f>IF(AQ162="5",BJ162,0)</f>
        <v>0</v>
      </c>
      <c r="AB162" s="12">
        <f>IF(AQ162="1",BH162,0)</f>
        <v>0</v>
      </c>
      <c r="AC162" s="12">
        <f>IF(AQ162="1",BI162,0)</f>
        <v>0</v>
      </c>
      <c r="AD162" s="12">
        <f>IF(AQ162="7",BH162,0)</f>
        <v>0</v>
      </c>
      <c r="AE162" s="12">
        <f>IF(AQ162="7",BI162,0)</f>
        <v>0</v>
      </c>
      <c r="AF162" s="12">
        <f>IF(AQ162="2",BH162,0)</f>
        <v>0</v>
      </c>
      <c r="AG162" s="12">
        <f>IF(AQ162="2",BI162,0)</f>
        <v>0</v>
      </c>
      <c r="AH162" s="12">
        <f>IF(AQ162="0",BJ162,0)</f>
        <v>0</v>
      </c>
      <c r="AI162" s="27" t="s">
        <v>7</v>
      </c>
      <c r="AJ162" s="26">
        <f>IF(AN162=0,L162,0)</f>
        <v>0</v>
      </c>
      <c r="AK162" s="26">
        <f>IF(AN162=15,L162,0)</f>
        <v>0</v>
      </c>
      <c r="AL162" s="26">
        <f>IF(AN162=21,L162,0)</f>
        <v>0</v>
      </c>
      <c r="AN162" s="12">
        <v>21</v>
      </c>
      <c r="AO162" s="12">
        <f>K162*0.655820657967837</f>
        <v>0</v>
      </c>
      <c r="AP162" s="12">
        <f>K162*(1-0.655820657967837)</f>
        <v>0</v>
      </c>
      <c r="AQ162" s="32" t="s">
        <v>85</v>
      </c>
      <c r="AV162" s="12">
        <f>AW162+AX162</f>
        <v>0</v>
      </c>
      <c r="AW162" s="12">
        <f>J162*AO162</f>
        <v>0</v>
      </c>
      <c r="AX162" s="12">
        <f>J162*AP162</f>
        <v>0</v>
      </c>
      <c r="AY162" s="78" t="s">
        <v>898</v>
      </c>
      <c r="AZ162" s="78" t="s">
        <v>918</v>
      </c>
      <c r="BA162" s="27" t="s">
        <v>928</v>
      </c>
      <c r="BC162" s="12">
        <f>AW162+AX162</f>
        <v>0</v>
      </c>
      <c r="BD162" s="12">
        <f>K162/(100-BE162)*100</f>
        <v>0</v>
      </c>
      <c r="BE162" s="12">
        <v>0</v>
      </c>
      <c r="BF162" s="12">
        <f>162</f>
        <v>162</v>
      </c>
      <c r="BH162" s="26">
        <f>J162*AO162</f>
        <v>0</v>
      </c>
      <c r="BI162" s="26">
        <f>J162*AP162</f>
        <v>0</v>
      </c>
      <c r="BJ162" s="26">
        <f>J162*K162</f>
        <v>0</v>
      </c>
    </row>
    <row r="163" spans="1:62" x14ac:dyDescent="0.2">
      <c r="D163" s="157" t="s">
        <v>855</v>
      </c>
      <c r="E163" s="158"/>
      <c r="F163" s="158"/>
      <c r="G163" s="158"/>
      <c r="H163" s="158"/>
      <c r="K163" s="71"/>
    </row>
    <row r="164" spans="1:62" x14ac:dyDescent="0.2">
      <c r="A164" s="18" t="s">
        <v>179</v>
      </c>
      <c r="B164" s="18" t="s">
        <v>7</v>
      </c>
      <c r="C164" s="18" t="s">
        <v>392</v>
      </c>
      <c r="D164" s="111" t="s">
        <v>653</v>
      </c>
      <c r="E164" s="112"/>
      <c r="F164" s="112"/>
      <c r="G164" s="112"/>
      <c r="H164" s="112"/>
      <c r="I164" s="18" t="s">
        <v>783</v>
      </c>
      <c r="J164" s="26">
        <v>622</v>
      </c>
      <c r="K164" s="69">
        <v>0</v>
      </c>
      <c r="L164" s="26">
        <f>J164*K164</f>
        <v>0</v>
      </c>
      <c r="M164" s="32" t="s">
        <v>874</v>
      </c>
      <c r="Z164" s="12">
        <f>IF(AQ164="5",BJ164,0)</f>
        <v>0</v>
      </c>
      <c r="AB164" s="12">
        <f>IF(AQ164="1",BH164,0)</f>
        <v>0</v>
      </c>
      <c r="AC164" s="12">
        <f>IF(AQ164="1",BI164,0)</f>
        <v>0</v>
      </c>
      <c r="AD164" s="12">
        <f>IF(AQ164="7",BH164,0)</f>
        <v>0</v>
      </c>
      <c r="AE164" s="12">
        <f>IF(AQ164="7",BI164,0)</f>
        <v>0</v>
      </c>
      <c r="AF164" s="12">
        <f>IF(AQ164="2",BH164,0)</f>
        <v>0</v>
      </c>
      <c r="AG164" s="12">
        <f>IF(AQ164="2",BI164,0)</f>
        <v>0</v>
      </c>
      <c r="AH164" s="12">
        <f>IF(AQ164="0",BJ164,0)</f>
        <v>0</v>
      </c>
      <c r="AI164" s="27" t="s">
        <v>7</v>
      </c>
      <c r="AJ164" s="26">
        <f>IF(AN164=0,L164,0)</f>
        <v>0</v>
      </c>
      <c r="AK164" s="26">
        <f>IF(AN164=15,L164,0)</f>
        <v>0</v>
      </c>
      <c r="AL164" s="26">
        <f>IF(AN164=21,L164,0)</f>
        <v>0</v>
      </c>
      <c r="AN164" s="12">
        <v>21</v>
      </c>
      <c r="AO164" s="12">
        <f>K164*0.335326086956522</f>
        <v>0</v>
      </c>
      <c r="AP164" s="12">
        <f>K164*(1-0.335326086956522)</f>
        <v>0</v>
      </c>
      <c r="AQ164" s="32" t="s">
        <v>85</v>
      </c>
      <c r="AV164" s="12">
        <f>AW164+AX164</f>
        <v>0</v>
      </c>
      <c r="AW164" s="12">
        <f>J164*AO164</f>
        <v>0</v>
      </c>
      <c r="AX164" s="12">
        <f>J164*AP164</f>
        <v>0</v>
      </c>
      <c r="AY164" s="78" t="s">
        <v>898</v>
      </c>
      <c r="AZ164" s="78" t="s">
        <v>918</v>
      </c>
      <c r="BA164" s="27" t="s">
        <v>928</v>
      </c>
      <c r="BC164" s="12">
        <f>AW164+AX164</f>
        <v>0</v>
      </c>
      <c r="BD164" s="12">
        <f>K164/(100-BE164)*100</f>
        <v>0</v>
      </c>
      <c r="BE164" s="12">
        <v>0</v>
      </c>
      <c r="BF164" s="12">
        <f>164</f>
        <v>164</v>
      </c>
      <c r="BH164" s="26">
        <f>J164*AO164</f>
        <v>0</v>
      </c>
      <c r="BI164" s="26">
        <f>J164*AP164</f>
        <v>0</v>
      </c>
      <c r="BJ164" s="26">
        <f>J164*K164</f>
        <v>0</v>
      </c>
    </row>
    <row r="165" spans="1:62" x14ac:dyDescent="0.2">
      <c r="A165" s="54"/>
      <c r="B165" s="19" t="s">
        <v>7</v>
      </c>
      <c r="C165" s="19" t="s">
        <v>25</v>
      </c>
      <c r="D165" s="117" t="s">
        <v>54</v>
      </c>
      <c r="E165" s="118"/>
      <c r="F165" s="118"/>
      <c r="G165" s="118"/>
      <c r="H165" s="118"/>
      <c r="I165" s="54" t="s">
        <v>5</v>
      </c>
      <c r="J165" s="54" t="s">
        <v>5</v>
      </c>
      <c r="K165" s="68" t="s">
        <v>5</v>
      </c>
      <c r="L165" s="80">
        <f>SUM(L166:L177)</f>
        <v>0</v>
      </c>
      <c r="M165" s="27"/>
      <c r="AI165" s="27" t="s">
        <v>7</v>
      </c>
      <c r="AS165" s="80">
        <f>SUM(AJ166:AJ177)</f>
        <v>0</v>
      </c>
      <c r="AT165" s="80">
        <f>SUM(AK166:AK177)</f>
        <v>0</v>
      </c>
      <c r="AU165" s="80">
        <f>SUM(AL166:AL177)</f>
        <v>0</v>
      </c>
    </row>
    <row r="166" spans="1:62" x14ac:dyDescent="0.2">
      <c r="A166" s="18" t="s">
        <v>180</v>
      </c>
      <c r="B166" s="18" t="s">
        <v>7</v>
      </c>
      <c r="C166" s="18" t="s">
        <v>393</v>
      </c>
      <c r="D166" s="111" t="s">
        <v>654</v>
      </c>
      <c r="E166" s="112"/>
      <c r="F166" s="112"/>
      <c r="G166" s="112"/>
      <c r="H166" s="112"/>
      <c r="I166" s="18" t="s">
        <v>783</v>
      </c>
      <c r="J166" s="26">
        <v>19.25</v>
      </c>
      <c r="K166" s="69">
        <v>0</v>
      </c>
      <c r="L166" s="26">
        <f>J166*K166</f>
        <v>0</v>
      </c>
      <c r="M166" s="32" t="s">
        <v>874</v>
      </c>
      <c r="Z166" s="12">
        <f>IF(AQ166="5",BJ166,0)</f>
        <v>0</v>
      </c>
      <c r="AB166" s="12">
        <f>IF(AQ166="1",BH166,0)</f>
        <v>0</v>
      </c>
      <c r="AC166" s="12">
        <f>IF(AQ166="1",BI166,0)</f>
        <v>0</v>
      </c>
      <c r="AD166" s="12">
        <f>IF(AQ166="7",BH166,0)</f>
        <v>0</v>
      </c>
      <c r="AE166" s="12">
        <f>IF(AQ166="7",BI166,0)</f>
        <v>0</v>
      </c>
      <c r="AF166" s="12">
        <f>IF(AQ166="2",BH166,0)</f>
        <v>0</v>
      </c>
      <c r="AG166" s="12">
        <f>IF(AQ166="2",BI166,0)</f>
        <v>0</v>
      </c>
      <c r="AH166" s="12">
        <f>IF(AQ166="0",BJ166,0)</f>
        <v>0</v>
      </c>
      <c r="AI166" s="27" t="s">
        <v>7</v>
      </c>
      <c r="AJ166" s="26">
        <f>IF(AN166=0,L166,0)</f>
        <v>0</v>
      </c>
      <c r="AK166" s="26">
        <f>IF(AN166=15,L166,0)</f>
        <v>0</v>
      </c>
      <c r="AL166" s="26">
        <f>IF(AN166=21,L166,0)</f>
        <v>0</v>
      </c>
      <c r="AN166" s="12">
        <v>21</v>
      </c>
      <c r="AO166" s="12">
        <f>K166*0.146007462686567</f>
        <v>0</v>
      </c>
      <c r="AP166" s="12">
        <f>K166*(1-0.146007462686567)</f>
        <v>0</v>
      </c>
      <c r="AQ166" s="32" t="s">
        <v>85</v>
      </c>
      <c r="AV166" s="12">
        <f>AW166+AX166</f>
        <v>0</v>
      </c>
      <c r="AW166" s="12">
        <f>J166*AO166</f>
        <v>0</v>
      </c>
      <c r="AX166" s="12">
        <f>J166*AP166</f>
        <v>0</v>
      </c>
      <c r="AY166" s="78" t="s">
        <v>899</v>
      </c>
      <c r="AZ166" s="78" t="s">
        <v>918</v>
      </c>
      <c r="BA166" s="27" t="s">
        <v>928</v>
      </c>
      <c r="BC166" s="12">
        <f>AW166+AX166</f>
        <v>0</v>
      </c>
      <c r="BD166" s="12">
        <f>K166/(100-BE166)*100</f>
        <v>0</v>
      </c>
      <c r="BE166" s="12">
        <v>0</v>
      </c>
      <c r="BF166" s="12">
        <f>166</f>
        <v>166</v>
      </c>
      <c r="BH166" s="26">
        <f>J166*AO166</f>
        <v>0</v>
      </c>
      <c r="BI166" s="26">
        <f>J166*AP166</f>
        <v>0</v>
      </c>
      <c r="BJ166" s="26">
        <f>J166*K166</f>
        <v>0</v>
      </c>
    </row>
    <row r="167" spans="1:62" ht="25.7" customHeight="1" x14ac:dyDescent="0.2">
      <c r="C167" s="62" t="s">
        <v>296</v>
      </c>
      <c r="D167" s="113" t="s">
        <v>655</v>
      </c>
      <c r="E167" s="114"/>
      <c r="F167" s="114"/>
      <c r="G167" s="114"/>
      <c r="H167" s="114"/>
      <c r="I167" s="114"/>
      <c r="J167" s="114"/>
      <c r="K167" s="154"/>
      <c r="L167" s="114"/>
      <c r="M167" s="114"/>
    </row>
    <row r="168" spans="1:62" x14ac:dyDescent="0.2">
      <c r="A168" s="18" t="s">
        <v>181</v>
      </c>
      <c r="B168" s="18" t="s">
        <v>7</v>
      </c>
      <c r="C168" s="18" t="s">
        <v>394</v>
      </c>
      <c r="D168" s="111" t="s">
        <v>656</v>
      </c>
      <c r="E168" s="112"/>
      <c r="F168" s="112"/>
      <c r="G168" s="112"/>
      <c r="H168" s="112"/>
      <c r="I168" s="18" t="s">
        <v>782</v>
      </c>
      <c r="J168" s="26">
        <v>5.3</v>
      </c>
      <c r="K168" s="69">
        <v>0</v>
      </c>
      <c r="L168" s="26">
        <f>J168*K168</f>
        <v>0</v>
      </c>
      <c r="M168" s="32" t="s">
        <v>876</v>
      </c>
      <c r="Z168" s="12">
        <f>IF(AQ168="5",BJ168,0)</f>
        <v>0</v>
      </c>
      <c r="AB168" s="12">
        <f>IF(AQ168="1",BH168,0)</f>
        <v>0</v>
      </c>
      <c r="AC168" s="12">
        <f>IF(AQ168="1",BI168,0)</f>
        <v>0</v>
      </c>
      <c r="AD168" s="12">
        <f>IF(AQ168="7",BH168,0)</f>
        <v>0</v>
      </c>
      <c r="AE168" s="12">
        <f>IF(AQ168="7",BI168,0)</f>
        <v>0</v>
      </c>
      <c r="AF168" s="12">
        <f>IF(AQ168="2",BH168,0)</f>
        <v>0</v>
      </c>
      <c r="AG168" s="12">
        <f>IF(AQ168="2",BI168,0)</f>
        <v>0</v>
      </c>
      <c r="AH168" s="12">
        <f>IF(AQ168="0",BJ168,0)</f>
        <v>0</v>
      </c>
      <c r="AI168" s="27" t="s">
        <v>7</v>
      </c>
      <c r="AJ168" s="26">
        <f>IF(AN168=0,L168,0)</f>
        <v>0</v>
      </c>
      <c r="AK168" s="26">
        <f>IF(AN168=15,L168,0)</f>
        <v>0</v>
      </c>
      <c r="AL168" s="26">
        <f>IF(AN168=21,L168,0)</f>
        <v>0</v>
      </c>
      <c r="AN168" s="12">
        <v>21</v>
      </c>
      <c r="AO168" s="12">
        <f>K168*0.597086801426873</f>
        <v>0</v>
      </c>
      <c r="AP168" s="12">
        <f>K168*(1-0.597086801426873)</f>
        <v>0</v>
      </c>
      <c r="AQ168" s="32" t="s">
        <v>85</v>
      </c>
      <c r="AV168" s="12">
        <f>AW168+AX168</f>
        <v>0</v>
      </c>
      <c r="AW168" s="12">
        <f>J168*AO168</f>
        <v>0</v>
      </c>
      <c r="AX168" s="12">
        <f>J168*AP168</f>
        <v>0</v>
      </c>
      <c r="AY168" s="78" t="s">
        <v>899</v>
      </c>
      <c r="AZ168" s="78" t="s">
        <v>918</v>
      </c>
      <c r="BA168" s="27" t="s">
        <v>928</v>
      </c>
      <c r="BC168" s="12">
        <f>AW168+AX168</f>
        <v>0</v>
      </c>
      <c r="BD168" s="12">
        <f>K168/(100-BE168)*100</f>
        <v>0</v>
      </c>
      <c r="BE168" s="12">
        <v>0</v>
      </c>
      <c r="BF168" s="12">
        <f>168</f>
        <v>168</v>
      </c>
      <c r="BH168" s="26">
        <f>J168*AO168</f>
        <v>0</v>
      </c>
      <c r="BI168" s="26">
        <f>J168*AP168</f>
        <v>0</v>
      </c>
      <c r="BJ168" s="26">
        <f>J168*K168</f>
        <v>0</v>
      </c>
    </row>
    <row r="169" spans="1:62" x14ac:dyDescent="0.2">
      <c r="D169" s="157" t="s">
        <v>856</v>
      </c>
      <c r="E169" s="158"/>
      <c r="F169" s="158"/>
      <c r="G169" s="158"/>
      <c r="H169" s="158"/>
      <c r="K169" s="71"/>
    </row>
    <row r="170" spans="1:62" x14ac:dyDescent="0.2">
      <c r="A170" s="18" t="s">
        <v>182</v>
      </c>
      <c r="B170" s="18" t="s">
        <v>7</v>
      </c>
      <c r="C170" s="18" t="s">
        <v>393</v>
      </c>
      <c r="D170" s="111" t="s">
        <v>654</v>
      </c>
      <c r="E170" s="112"/>
      <c r="F170" s="112"/>
      <c r="G170" s="112"/>
      <c r="H170" s="112"/>
      <c r="I170" s="18" t="s">
        <v>783</v>
      </c>
      <c r="J170" s="26">
        <v>51.25</v>
      </c>
      <c r="K170" s="69">
        <v>0</v>
      </c>
      <c r="L170" s="26">
        <f>J170*K170</f>
        <v>0</v>
      </c>
      <c r="M170" s="32" t="s">
        <v>874</v>
      </c>
      <c r="Z170" s="12">
        <f>IF(AQ170="5",BJ170,0)</f>
        <v>0</v>
      </c>
      <c r="AB170" s="12">
        <f>IF(AQ170="1",BH170,0)</f>
        <v>0</v>
      </c>
      <c r="AC170" s="12">
        <f>IF(AQ170="1",BI170,0)</f>
        <v>0</v>
      </c>
      <c r="AD170" s="12">
        <f>IF(AQ170="7",BH170,0)</f>
        <v>0</v>
      </c>
      <c r="AE170" s="12">
        <f>IF(AQ170="7",BI170,0)</f>
        <v>0</v>
      </c>
      <c r="AF170" s="12">
        <f>IF(AQ170="2",BH170,0)</f>
        <v>0</v>
      </c>
      <c r="AG170" s="12">
        <f>IF(AQ170="2",BI170,0)</f>
        <v>0</v>
      </c>
      <c r="AH170" s="12">
        <f>IF(AQ170="0",BJ170,0)</f>
        <v>0</v>
      </c>
      <c r="AI170" s="27" t="s">
        <v>7</v>
      </c>
      <c r="AJ170" s="26">
        <f>IF(AN170=0,L170,0)</f>
        <v>0</v>
      </c>
      <c r="AK170" s="26">
        <f>IF(AN170=15,L170,0)</f>
        <v>0</v>
      </c>
      <c r="AL170" s="26">
        <f>IF(AN170=21,L170,0)</f>
        <v>0</v>
      </c>
      <c r="AN170" s="12">
        <v>21</v>
      </c>
      <c r="AO170" s="12">
        <f>K170*0.146007462686567</f>
        <v>0</v>
      </c>
      <c r="AP170" s="12">
        <f>K170*(1-0.146007462686567)</f>
        <v>0</v>
      </c>
      <c r="AQ170" s="32" t="s">
        <v>85</v>
      </c>
      <c r="AV170" s="12">
        <f>AW170+AX170</f>
        <v>0</v>
      </c>
      <c r="AW170" s="12">
        <f>J170*AO170</f>
        <v>0</v>
      </c>
      <c r="AX170" s="12">
        <f>J170*AP170</f>
        <v>0</v>
      </c>
      <c r="AY170" s="78" t="s">
        <v>899</v>
      </c>
      <c r="AZ170" s="78" t="s">
        <v>918</v>
      </c>
      <c r="BA170" s="27" t="s">
        <v>928</v>
      </c>
      <c r="BC170" s="12">
        <f>AW170+AX170</f>
        <v>0</v>
      </c>
      <c r="BD170" s="12">
        <f>K170/(100-BE170)*100</f>
        <v>0</v>
      </c>
      <c r="BE170" s="12">
        <v>0</v>
      </c>
      <c r="BF170" s="12">
        <f>170</f>
        <v>170</v>
      </c>
      <c r="BH170" s="26">
        <f>J170*AO170</f>
        <v>0</v>
      </c>
      <c r="BI170" s="26">
        <f>J170*AP170</f>
        <v>0</v>
      </c>
      <c r="BJ170" s="26">
        <f>J170*K170</f>
        <v>0</v>
      </c>
    </row>
    <row r="171" spans="1:62" ht="25.7" customHeight="1" x14ac:dyDescent="0.2">
      <c r="C171" s="62" t="s">
        <v>296</v>
      </c>
      <c r="D171" s="113" t="s">
        <v>655</v>
      </c>
      <c r="E171" s="114"/>
      <c r="F171" s="114"/>
      <c r="G171" s="114"/>
      <c r="H171" s="114"/>
      <c r="I171" s="114"/>
      <c r="J171" s="114"/>
      <c r="K171" s="154"/>
      <c r="L171" s="114"/>
      <c r="M171" s="114"/>
    </row>
    <row r="172" spans="1:62" x14ac:dyDescent="0.2">
      <c r="A172" s="20" t="s">
        <v>183</v>
      </c>
      <c r="B172" s="20" t="s">
        <v>7</v>
      </c>
      <c r="C172" s="20" t="s">
        <v>395</v>
      </c>
      <c r="D172" s="121" t="s">
        <v>658</v>
      </c>
      <c r="E172" s="122"/>
      <c r="F172" s="122"/>
      <c r="G172" s="122"/>
      <c r="H172" s="122"/>
      <c r="I172" s="20" t="s">
        <v>783</v>
      </c>
      <c r="J172" s="29">
        <v>56.375</v>
      </c>
      <c r="K172" s="70">
        <v>0</v>
      </c>
      <c r="L172" s="29">
        <f>J172*K172</f>
        <v>0</v>
      </c>
      <c r="M172" s="33" t="s">
        <v>874</v>
      </c>
      <c r="Z172" s="12">
        <f>IF(AQ172="5",BJ172,0)</f>
        <v>0</v>
      </c>
      <c r="AB172" s="12">
        <f>IF(AQ172="1",BH172,0)</f>
        <v>0</v>
      </c>
      <c r="AC172" s="12">
        <f>IF(AQ172="1",BI172,0)</f>
        <v>0</v>
      </c>
      <c r="AD172" s="12">
        <f>IF(AQ172="7",BH172,0)</f>
        <v>0</v>
      </c>
      <c r="AE172" s="12">
        <f>IF(AQ172="7",BI172,0)</f>
        <v>0</v>
      </c>
      <c r="AF172" s="12">
        <f>IF(AQ172="2",BH172,0)</f>
        <v>0</v>
      </c>
      <c r="AG172" s="12">
        <f>IF(AQ172="2",BI172,0)</f>
        <v>0</v>
      </c>
      <c r="AH172" s="12">
        <f>IF(AQ172="0",BJ172,0)</f>
        <v>0</v>
      </c>
      <c r="AI172" s="27" t="s">
        <v>7</v>
      </c>
      <c r="AJ172" s="29">
        <f>IF(AN172=0,L172,0)</f>
        <v>0</v>
      </c>
      <c r="AK172" s="29">
        <f>IF(AN172=15,L172,0)</f>
        <v>0</v>
      </c>
      <c r="AL172" s="29">
        <f>IF(AN172=21,L172,0)</f>
        <v>0</v>
      </c>
      <c r="AN172" s="12">
        <v>21</v>
      </c>
      <c r="AO172" s="12">
        <f>K172*1</f>
        <v>0</v>
      </c>
      <c r="AP172" s="12">
        <f>K172*(1-1)</f>
        <v>0</v>
      </c>
      <c r="AQ172" s="33" t="s">
        <v>85</v>
      </c>
      <c r="AV172" s="12">
        <f>AW172+AX172</f>
        <v>0</v>
      </c>
      <c r="AW172" s="12">
        <f>J172*AO172</f>
        <v>0</v>
      </c>
      <c r="AX172" s="12">
        <f>J172*AP172</f>
        <v>0</v>
      </c>
      <c r="AY172" s="78" t="s">
        <v>899</v>
      </c>
      <c r="AZ172" s="78" t="s">
        <v>918</v>
      </c>
      <c r="BA172" s="27" t="s">
        <v>928</v>
      </c>
      <c r="BC172" s="12">
        <f>AW172+AX172</f>
        <v>0</v>
      </c>
      <c r="BD172" s="12">
        <f>K172/(100-BE172)*100</f>
        <v>0</v>
      </c>
      <c r="BE172" s="12">
        <v>0</v>
      </c>
      <c r="BF172" s="12">
        <f>172</f>
        <v>172</v>
      </c>
      <c r="BH172" s="29">
        <f>J172*AO172</f>
        <v>0</v>
      </c>
      <c r="BI172" s="29">
        <f>J172*AP172</f>
        <v>0</v>
      </c>
      <c r="BJ172" s="29">
        <f>J172*K172</f>
        <v>0</v>
      </c>
    </row>
    <row r="173" spans="1:62" x14ac:dyDescent="0.2">
      <c r="C173" s="62" t="s">
        <v>296</v>
      </c>
      <c r="D173" s="113" t="s">
        <v>660</v>
      </c>
      <c r="E173" s="114"/>
      <c r="F173" s="114"/>
      <c r="G173" s="114"/>
      <c r="H173" s="114"/>
      <c r="I173" s="114"/>
      <c r="J173" s="114"/>
      <c r="K173" s="154"/>
      <c r="L173" s="114"/>
      <c r="M173" s="114"/>
    </row>
    <row r="174" spans="1:62" x14ac:dyDescent="0.2">
      <c r="A174" s="18" t="s">
        <v>184</v>
      </c>
      <c r="B174" s="18" t="s">
        <v>7</v>
      </c>
      <c r="C174" s="18" t="s">
        <v>396</v>
      </c>
      <c r="D174" s="111" t="s">
        <v>661</v>
      </c>
      <c r="E174" s="112"/>
      <c r="F174" s="112"/>
      <c r="G174" s="112"/>
      <c r="H174" s="112"/>
      <c r="I174" s="18" t="s">
        <v>782</v>
      </c>
      <c r="J174" s="26">
        <v>45</v>
      </c>
      <c r="K174" s="69">
        <v>0</v>
      </c>
      <c r="L174" s="26">
        <f>J174*K174</f>
        <v>0</v>
      </c>
      <c r="M174" s="32" t="s">
        <v>874</v>
      </c>
      <c r="Z174" s="12">
        <f>IF(AQ174="5",BJ174,0)</f>
        <v>0</v>
      </c>
      <c r="AB174" s="12">
        <f>IF(AQ174="1",BH174,0)</f>
        <v>0</v>
      </c>
      <c r="AC174" s="12">
        <f>IF(AQ174="1",BI174,0)</f>
        <v>0</v>
      </c>
      <c r="AD174" s="12">
        <f>IF(AQ174="7",BH174,0)</f>
        <v>0</v>
      </c>
      <c r="AE174" s="12">
        <f>IF(AQ174="7",BI174,0)</f>
        <v>0</v>
      </c>
      <c r="AF174" s="12">
        <f>IF(AQ174="2",BH174,0)</f>
        <v>0</v>
      </c>
      <c r="AG174" s="12">
        <f>IF(AQ174="2",BI174,0)</f>
        <v>0</v>
      </c>
      <c r="AH174" s="12">
        <f>IF(AQ174="0",BJ174,0)</f>
        <v>0</v>
      </c>
      <c r="AI174" s="27" t="s">
        <v>7</v>
      </c>
      <c r="AJ174" s="26">
        <f>IF(AN174=0,L174,0)</f>
        <v>0</v>
      </c>
      <c r="AK174" s="26">
        <f>IF(AN174=15,L174,0)</f>
        <v>0</v>
      </c>
      <c r="AL174" s="26">
        <f>IF(AN174=21,L174,0)</f>
        <v>0</v>
      </c>
      <c r="AN174" s="12">
        <v>21</v>
      </c>
      <c r="AO174" s="12">
        <f>K174*0.0596265560165975</f>
        <v>0</v>
      </c>
      <c r="AP174" s="12">
        <f>K174*(1-0.0596265560165975)</f>
        <v>0</v>
      </c>
      <c r="AQ174" s="32" t="s">
        <v>85</v>
      </c>
      <c r="AV174" s="12">
        <f>AW174+AX174</f>
        <v>0</v>
      </c>
      <c r="AW174" s="12">
        <f>J174*AO174</f>
        <v>0</v>
      </c>
      <c r="AX174" s="12">
        <f>J174*AP174</f>
        <v>0</v>
      </c>
      <c r="AY174" s="78" t="s">
        <v>899</v>
      </c>
      <c r="AZ174" s="78" t="s">
        <v>918</v>
      </c>
      <c r="BA174" s="27" t="s">
        <v>928</v>
      </c>
      <c r="BC174" s="12">
        <f>AW174+AX174</f>
        <v>0</v>
      </c>
      <c r="BD174" s="12">
        <f>K174/(100-BE174)*100</f>
        <v>0</v>
      </c>
      <c r="BE174" s="12">
        <v>0</v>
      </c>
      <c r="BF174" s="12">
        <f>174</f>
        <v>174</v>
      </c>
      <c r="BH174" s="26">
        <f>J174*AO174</f>
        <v>0</v>
      </c>
      <c r="BI174" s="26">
        <f>J174*AP174</f>
        <v>0</v>
      </c>
      <c r="BJ174" s="26">
        <f>J174*K174</f>
        <v>0</v>
      </c>
    </row>
    <row r="175" spans="1:62" x14ac:dyDescent="0.2">
      <c r="A175" s="18" t="s">
        <v>185</v>
      </c>
      <c r="B175" s="18" t="s">
        <v>7</v>
      </c>
      <c r="C175" s="18" t="s">
        <v>397</v>
      </c>
      <c r="D175" s="111" t="s">
        <v>662</v>
      </c>
      <c r="E175" s="112"/>
      <c r="F175" s="112"/>
      <c r="G175" s="112"/>
      <c r="H175" s="112"/>
      <c r="I175" s="18" t="s">
        <v>783</v>
      </c>
      <c r="J175" s="26">
        <v>2.1</v>
      </c>
      <c r="K175" s="69">
        <v>0</v>
      </c>
      <c r="L175" s="26">
        <f>J175*K175</f>
        <v>0</v>
      </c>
      <c r="M175" s="32" t="s">
        <v>874</v>
      </c>
      <c r="Z175" s="12">
        <f>IF(AQ175="5",BJ175,0)</f>
        <v>0</v>
      </c>
      <c r="AB175" s="12">
        <f>IF(AQ175="1",BH175,0)</f>
        <v>0</v>
      </c>
      <c r="AC175" s="12">
        <f>IF(AQ175="1",BI175,0)</f>
        <v>0</v>
      </c>
      <c r="AD175" s="12">
        <f>IF(AQ175="7",BH175,0)</f>
        <v>0</v>
      </c>
      <c r="AE175" s="12">
        <f>IF(AQ175="7",BI175,0)</f>
        <v>0</v>
      </c>
      <c r="AF175" s="12">
        <f>IF(AQ175="2",BH175,0)</f>
        <v>0</v>
      </c>
      <c r="AG175" s="12">
        <f>IF(AQ175="2",BI175,0)</f>
        <v>0</v>
      </c>
      <c r="AH175" s="12">
        <f>IF(AQ175="0",BJ175,0)</f>
        <v>0</v>
      </c>
      <c r="AI175" s="27" t="s">
        <v>7</v>
      </c>
      <c r="AJ175" s="26">
        <f>IF(AN175=0,L175,0)</f>
        <v>0</v>
      </c>
      <c r="AK175" s="26">
        <f>IF(AN175=15,L175,0)</f>
        <v>0</v>
      </c>
      <c r="AL175" s="26">
        <f>IF(AN175=21,L175,0)</f>
        <v>0</v>
      </c>
      <c r="AN175" s="12">
        <v>21</v>
      </c>
      <c r="AO175" s="12">
        <f>K175*0.625986294771871</f>
        <v>0</v>
      </c>
      <c r="AP175" s="12">
        <f>K175*(1-0.625986294771871)</f>
        <v>0</v>
      </c>
      <c r="AQ175" s="32" t="s">
        <v>85</v>
      </c>
      <c r="AV175" s="12">
        <f>AW175+AX175</f>
        <v>0</v>
      </c>
      <c r="AW175" s="12">
        <f>J175*AO175</f>
        <v>0</v>
      </c>
      <c r="AX175" s="12">
        <f>J175*AP175</f>
        <v>0</v>
      </c>
      <c r="AY175" s="78" t="s">
        <v>899</v>
      </c>
      <c r="AZ175" s="78" t="s">
        <v>918</v>
      </c>
      <c r="BA175" s="27" t="s">
        <v>928</v>
      </c>
      <c r="BC175" s="12">
        <f>AW175+AX175</f>
        <v>0</v>
      </c>
      <c r="BD175" s="12">
        <f>K175/(100-BE175)*100</f>
        <v>0</v>
      </c>
      <c r="BE175" s="12">
        <v>0</v>
      </c>
      <c r="BF175" s="12">
        <f>175</f>
        <v>175</v>
      </c>
      <c r="BH175" s="26">
        <f>J175*AO175</f>
        <v>0</v>
      </c>
      <c r="BI175" s="26">
        <f>J175*AP175</f>
        <v>0</v>
      </c>
      <c r="BJ175" s="26">
        <f>J175*K175</f>
        <v>0</v>
      </c>
    </row>
    <row r="176" spans="1:62" x14ac:dyDescent="0.2">
      <c r="D176" s="157" t="s">
        <v>857</v>
      </c>
      <c r="E176" s="158"/>
      <c r="F176" s="158"/>
      <c r="G176" s="158"/>
      <c r="H176" s="158"/>
      <c r="K176" s="71"/>
    </row>
    <row r="177" spans="1:62" x14ac:dyDescent="0.2">
      <c r="A177" s="18" t="s">
        <v>186</v>
      </c>
      <c r="B177" s="18" t="s">
        <v>7</v>
      </c>
      <c r="C177" s="18" t="s">
        <v>398</v>
      </c>
      <c r="D177" s="111" t="s">
        <v>662</v>
      </c>
      <c r="E177" s="112"/>
      <c r="F177" s="112"/>
      <c r="G177" s="112"/>
      <c r="H177" s="112"/>
      <c r="I177" s="18" t="s">
        <v>783</v>
      </c>
      <c r="J177" s="26">
        <v>40</v>
      </c>
      <c r="K177" s="69">
        <v>0</v>
      </c>
      <c r="L177" s="26">
        <f>J177*K177</f>
        <v>0</v>
      </c>
      <c r="M177" s="32" t="s">
        <v>874</v>
      </c>
      <c r="Z177" s="12">
        <f>IF(AQ177="5",BJ177,0)</f>
        <v>0</v>
      </c>
      <c r="AB177" s="12">
        <f>IF(AQ177="1",BH177,0)</f>
        <v>0</v>
      </c>
      <c r="AC177" s="12">
        <f>IF(AQ177="1",BI177,0)</f>
        <v>0</v>
      </c>
      <c r="AD177" s="12">
        <f>IF(AQ177="7",BH177,0)</f>
        <v>0</v>
      </c>
      <c r="AE177" s="12">
        <f>IF(AQ177="7",BI177,0)</f>
        <v>0</v>
      </c>
      <c r="AF177" s="12">
        <f>IF(AQ177="2",BH177,0)</f>
        <v>0</v>
      </c>
      <c r="AG177" s="12">
        <f>IF(AQ177="2",BI177,0)</f>
        <v>0</v>
      </c>
      <c r="AH177" s="12">
        <f>IF(AQ177="0",BJ177,0)</f>
        <v>0</v>
      </c>
      <c r="AI177" s="27" t="s">
        <v>7</v>
      </c>
      <c r="AJ177" s="26">
        <f>IF(AN177=0,L177,0)</f>
        <v>0</v>
      </c>
      <c r="AK177" s="26">
        <f>IF(AN177=15,L177,0)</f>
        <v>0</v>
      </c>
      <c r="AL177" s="26">
        <f>IF(AN177=21,L177,0)</f>
        <v>0</v>
      </c>
      <c r="AN177" s="12">
        <v>21</v>
      </c>
      <c r="AO177" s="12">
        <f>K177*0.129779156194856</f>
        <v>0</v>
      </c>
      <c r="AP177" s="12">
        <f>K177*(1-0.129779156194856)</f>
        <v>0</v>
      </c>
      <c r="AQ177" s="32" t="s">
        <v>85</v>
      </c>
      <c r="AV177" s="12">
        <f>AW177+AX177</f>
        <v>0</v>
      </c>
      <c r="AW177" s="12">
        <f>J177*AO177</f>
        <v>0</v>
      </c>
      <c r="AX177" s="12">
        <f>J177*AP177</f>
        <v>0</v>
      </c>
      <c r="AY177" s="78" t="s">
        <v>899</v>
      </c>
      <c r="AZ177" s="78" t="s">
        <v>918</v>
      </c>
      <c r="BA177" s="27" t="s">
        <v>928</v>
      </c>
      <c r="BC177" s="12">
        <f>AW177+AX177</f>
        <v>0</v>
      </c>
      <c r="BD177" s="12">
        <f>K177/(100-BE177)*100</f>
        <v>0</v>
      </c>
      <c r="BE177" s="12">
        <v>0</v>
      </c>
      <c r="BF177" s="12">
        <f>177</f>
        <v>177</v>
      </c>
      <c r="BH177" s="26">
        <f>J177*AO177</f>
        <v>0</v>
      </c>
      <c r="BI177" s="26">
        <f>J177*AP177</f>
        <v>0</v>
      </c>
      <c r="BJ177" s="26">
        <f>J177*K177</f>
        <v>0</v>
      </c>
    </row>
    <row r="178" spans="1:62" ht="25.7" customHeight="1" x14ac:dyDescent="0.2">
      <c r="C178" s="62" t="s">
        <v>296</v>
      </c>
      <c r="D178" s="113" t="s">
        <v>663</v>
      </c>
      <c r="E178" s="114"/>
      <c r="F178" s="114"/>
      <c r="G178" s="114"/>
      <c r="H178" s="114"/>
      <c r="I178" s="114"/>
      <c r="J178" s="114"/>
      <c r="K178" s="154"/>
      <c r="L178" s="114"/>
      <c r="M178" s="114"/>
    </row>
    <row r="179" spans="1:62" x14ac:dyDescent="0.2">
      <c r="C179" s="61" t="s">
        <v>9</v>
      </c>
      <c r="D179" s="123" t="s">
        <v>664</v>
      </c>
      <c r="E179" s="124"/>
      <c r="F179" s="124"/>
      <c r="G179" s="124"/>
      <c r="H179" s="124"/>
      <c r="I179" s="124"/>
      <c r="J179" s="124"/>
      <c r="K179" s="159"/>
      <c r="L179" s="124"/>
      <c r="M179" s="124"/>
    </row>
    <row r="180" spans="1:62" x14ac:dyDescent="0.2">
      <c r="A180" s="54"/>
      <c r="B180" s="19" t="s">
        <v>7</v>
      </c>
      <c r="C180" s="19" t="s">
        <v>26</v>
      </c>
      <c r="D180" s="117" t="s">
        <v>55</v>
      </c>
      <c r="E180" s="118"/>
      <c r="F180" s="118"/>
      <c r="G180" s="118"/>
      <c r="H180" s="118"/>
      <c r="I180" s="54" t="s">
        <v>5</v>
      </c>
      <c r="J180" s="54" t="s">
        <v>5</v>
      </c>
      <c r="K180" s="68" t="s">
        <v>5</v>
      </c>
      <c r="L180" s="80">
        <f>SUM(L181:L181)</f>
        <v>0</v>
      </c>
      <c r="M180" s="27"/>
      <c r="AI180" s="27" t="s">
        <v>7</v>
      </c>
      <c r="AS180" s="80">
        <f>SUM(AJ181:AJ181)</f>
        <v>0</v>
      </c>
      <c r="AT180" s="80">
        <f>SUM(AK181:AK181)</f>
        <v>0</v>
      </c>
      <c r="AU180" s="80">
        <f>SUM(AL181:AL181)</f>
        <v>0</v>
      </c>
    </row>
    <row r="181" spans="1:62" x14ac:dyDescent="0.2">
      <c r="A181" s="18" t="s">
        <v>187</v>
      </c>
      <c r="B181" s="18" t="s">
        <v>7</v>
      </c>
      <c r="C181" s="18" t="s">
        <v>399</v>
      </c>
      <c r="D181" s="111" t="s">
        <v>665</v>
      </c>
      <c r="E181" s="112"/>
      <c r="F181" s="112"/>
      <c r="G181" s="112"/>
      <c r="H181" s="112"/>
      <c r="I181" s="18" t="s">
        <v>783</v>
      </c>
      <c r="J181" s="26">
        <v>7.2</v>
      </c>
      <c r="K181" s="69">
        <v>0</v>
      </c>
      <c r="L181" s="26">
        <f>J181*K181</f>
        <v>0</v>
      </c>
      <c r="M181" s="32" t="s">
        <v>874</v>
      </c>
      <c r="Z181" s="12">
        <f>IF(AQ181="5",BJ181,0)</f>
        <v>0</v>
      </c>
      <c r="AB181" s="12">
        <f>IF(AQ181="1",BH181,0)</f>
        <v>0</v>
      </c>
      <c r="AC181" s="12">
        <f>IF(AQ181="1",BI181,0)</f>
        <v>0</v>
      </c>
      <c r="AD181" s="12">
        <f>IF(AQ181="7",BH181,0)</f>
        <v>0</v>
      </c>
      <c r="AE181" s="12">
        <f>IF(AQ181="7",BI181,0)</f>
        <v>0</v>
      </c>
      <c r="AF181" s="12">
        <f>IF(AQ181="2",BH181,0)</f>
        <v>0</v>
      </c>
      <c r="AG181" s="12">
        <f>IF(AQ181="2",BI181,0)</f>
        <v>0</v>
      </c>
      <c r="AH181" s="12">
        <f>IF(AQ181="0",BJ181,0)</f>
        <v>0</v>
      </c>
      <c r="AI181" s="27" t="s">
        <v>7</v>
      </c>
      <c r="AJ181" s="26">
        <f>IF(AN181=0,L181,0)</f>
        <v>0</v>
      </c>
      <c r="AK181" s="26">
        <f>IF(AN181=15,L181,0)</f>
        <v>0</v>
      </c>
      <c r="AL181" s="26">
        <f>IF(AN181=21,L181,0)</f>
        <v>0</v>
      </c>
      <c r="AN181" s="12">
        <v>21</v>
      </c>
      <c r="AO181" s="12">
        <f>K181*0.770448275862069</f>
        <v>0</v>
      </c>
      <c r="AP181" s="12">
        <f>K181*(1-0.770448275862069)</f>
        <v>0</v>
      </c>
      <c r="AQ181" s="32" t="s">
        <v>85</v>
      </c>
      <c r="AV181" s="12">
        <f>AW181+AX181</f>
        <v>0</v>
      </c>
      <c r="AW181" s="12">
        <f>J181*AO181</f>
        <v>0</v>
      </c>
      <c r="AX181" s="12">
        <f>J181*AP181</f>
        <v>0</v>
      </c>
      <c r="AY181" s="78" t="s">
        <v>900</v>
      </c>
      <c r="AZ181" s="78" t="s">
        <v>919</v>
      </c>
      <c r="BA181" s="27" t="s">
        <v>928</v>
      </c>
      <c r="BC181" s="12">
        <f>AW181+AX181</f>
        <v>0</v>
      </c>
      <c r="BD181" s="12">
        <f>K181/(100-BE181)*100</f>
        <v>0</v>
      </c>
      <c r="BE181" s="12">
        <v>0</v>
      </c>
      <c r="BF181" s="12">
        <f>181</f>
        <v>181</v>
      </c>
      <c r="BH181" s="26">
        <f>J181*AO181</f>
        <v>0</v>
      </c>
      <c r="BI181" s="26">
        <f>J181*AP181</f>
        <v>0</v>
      </c>
      <c r="BJ181" s="26">
        <f>J181*K181</f>
        <v>0</v>
      </c>
    </row>
    <row r="182" spans="1:62" x14ac:dyDescent="0.2">
      <c r="C182" s="62" t="s">
        <v>296</v>
      </c>
      <c r="D182" s="113" t="s">
        <v>666</v>
      </c>
      <c r="E182" s="114"/>
      <c r="F182" s="114"/>
      <c r="G182" s="114"/>
      <c r="H182" s="114"/>
      <c r="I182" s="114"/>
      <c r="J182" s="114"/>
      <c r="K182" s="154"/>
      <c r="L182" s="114"/>
      <c r="M182" s="114"/>
    </row>
    <row r="183" spans="1:62" x14ac:dyDescent="0.2">
      <c r="A183" s="54"/>
      <c r="B183" s="19" t="s">
        <v>7</v>
      </c>
      <c r="C183" s="19" t="s">
        <v>27</v>
      </c>
      <c r="D183" s="117" t="s">
        <v>56</v>
      </c>
      <c r="E183" s="118"/>
      <c r="F183" s="118"/>
      <c r="G183" s="118"/>
      <c r="H183" s="118"/>
      <c r="I183" s="54" t="s">
        <v>5</v>
      </c>
      <c r="J183" s="54" t="s">
        <v>5</v>
      </c>
      <c r="K183" s="68" t="s">
        <v>5</v>
      </c>
      <c r="L183" s="80">
        <f>SUM(L184:L189)</f>
        <v>0</v>
      </c>
      <c r="M183" s="27"/>
      <c r="AI183" s="27" t="s">
        <v>7</v>
      </c>
      <c r="AS183" s="80">
        <f>SUM(AJ184:AJ189)</f>
        <v>0</v>
      </c>
      <c r="AT183" s="80">
        <f>SUM(AK184:AK189)</f>
        <v>0</v>
      </c>
      <c r="AU183" s="80">
        <f>SUM(AL184:AL189)</f>
        <v>0</v>
      </c>
    </row>
    <row r="184" spans="1:62" x14ac:dyDescent="0.2">
      <c r="A184" s="18" t="s">
        <v>188</v>
      </c>
      <c r="B184" s="18" t="s">
        <v>7</v>
      </c>
      <c r="C184" s="18" t="s">
        <v>400</v>
      </c>
      <c r="D184" s="111" t="s">
        <v>667</v>
      </c>
      <c r="E184" s="112"/>
      <c r="F184" s="112"/>
      <c r="G184" s="112"/>
      <c r="H184" s="112"/>
      <c r="I184" s="18" t="s">
        <v>784</v>
      </c>
      <c r="J184" s="26">
        <v>1</v>
      </c>
      <c r="K184" s="69">
        <v>0</v>
      </c>
      <c r="L184" s="26">
        <f>J184*K184</f>
        <v>0</v>
      </c>
      <c r="M184" s="32"/>
      <c r="Z184" s="12">
        <f>IF(AQ184="5",BJ184,0)</f>
        <v>0</v>
      </c>
      <c r="AB184" s="12">
        <f>IF(AQ184="1",BH184,0)</f>
        <v>0</v>
      </c>
      <c r="AC184" s="12">
        <f>IF(AQ184="1",BI184,0)</f>
        <v>0</v>
      </c>
      <c r="AD184" s="12">
        <f>IF(AQ184="7",BH184,0)</f>
        <v>0</v>
      </c>
      <c r="AE184" s="12">
        <f>IF(AQ184="7",BI184,0)</f>
        <v>0</v>
      </c>
      <c r="AF184" s="12">
        <f>IF(AQ184="2",BH184,0)</f>
        <v>0</v>
      </c>
      <c r="AG184" s="12">
        <f>IF(AQ184="2",BI184,0)</f>
        <v>0</v>
      </c>
      <c r="AH184" s="12">
        <f>IF(AQ184="0",BJ184,0)</f>
        <v>0</v>
      </c>
      <c r="AI184" s="27" t="s">
        <v>7</v>
      </c>
      <c r="AJ184" s="26">
        <f>IF(AN184=0,L184,0)</f>
        <v>0</v>
      </c>
      <c r="AK184" s="26">
        <f>IF(AN184=15,L184,0)</f>
        <v>0</v>
      </c>
      <c r="AL184" s="26">
        <f>IF(AN184=21,L184,0)</f>
        <v>0</v>
      </c>
      <c r="AN184" s="12">
        <v>21</v>
      </c>
      <c r="AO184" s="12">
        <f>K184*0.394142131979695</f>
        <v>0</v>
      </c>
      <c r="AP184" s="12">
        <f>K184*(1-0.394142131979695)</f>
        <v>0</v>
      </c>
      <c r="AQ184" s="32" t="s">
        <v>91</v>
      </c>
      <c r="AV184" s="12">
        <f>AW184+AX184</f>
        <v>0</v>
      </c>
      <c r="AW184" s="12">
        <f>J184*AO184</f>
        <v>0</v>
      </c>
      <c r="AX184" s="12">
        <f>J184*AP184</f>
        <v>0</v>
      </c>
      <c r="AY184" s="78" t="s">
        <v>901</v>
      </c>
      <c r="AZ184" s="78" t="s">
        <v>920</v>
      </c>
      <c r="BA184" s="27" t="s">
        <v>928</v>
      </c>
      <c r="BC184" s="12">
        <f>AW184+AX184</f>
        <v>0</v>
      </c>
      <c r="BD184" s="12">
        <f>K184/(100-BE184)*100</f>
        <v>0</v>
      </c>
      <c r="BE184" s="12">
        <v>0</v>
      </c>
      <c r="BF184" s="12">
        <f>184</f>
        <v>184</v>
      </c>
      <c r="BH184" s="26">
        <f>J184*AO184</f>
        <v>0</v>
      </c>
      <c r="BI184" s="26">
        <f>J184*AP184</f>
        <v>0</v>
      </c>
      <c r="BJ184" s="26">
        <f>J184*K184</f>
        <v>0</v>
      </c>
    </row>
    <row r="185" spans="1:62" x14ac:dyDescent="0.2">
      <c r="A185" s="18" t="s">
        <v>189</v>
      </c>
      <c r="B185" s="18" t="s">
        <v>7</v>
      </c>
      <c r="C185" s="18" t="s">
        <v>401</v>
      </c>
      <c r="D185" s="111" t="s">
        <v>668</v>
      </c>
      <c r="E185" s="112"/>
      <c r="F185" s="112"/>
      <c r="G185" s="112"/>
      <c r="H185" s="112"/>
      <c r="I185" s="18" t="s">
        <v>784</v>
      </c>
      <c r="J185" s="26">
        <v>2</v>
      </c>
      <c r="K185" s="69">
        <v>0</v>
      </c>
      <c r="L185" s="26">
        <f>J185*K185</f>
        <v>0</v>
      </c>
      <c r="M185" s="32" t="s">
        <v>874</v>
      </c>
      <c r="Z185" s="12">
        <f>IF(AQ185="5",BJ185,0)</f>
        <v>0</v>
      </c>
      <c r="AB185" s="12">
        <f>IF(AQ185="1",BH185,0)</f>
        <v>0</v>
      </c>
      <c r="AC185" s="12">
        <f>IF(AQ185="1",BI185,0)</f>
        <v>0</v>
      </c>
      <c r="AD185" s="12">
        <f>IF(AQ185="7",BH185,0)</f>
        <v>0</v>
      </c>
      <c r="AE185" s="12">
        <f>IF(AQ185="7",BI185,0)</f>
        <v>0</v>
      </c>
      <c r="AF185" s="12">
        <f>IF(AQ185="2",BH185,0)</f>
        <v>0</v>
      </c>
      <c r="AG185" s="12">
        <f>IF(AQ185="2",BI185,0)</f>
        <v>0</v>
      </c>
      <c r="AH185" s="12">
        <f>IF(AQ185="0",BJ185,0)</f>
        <v>0</v>
      </c>
      <c r="AI185" s="27" t="s">
        <v>7</v>
      </c>
      <c r="AJ185" s="26">
        <f>IF(AN185=0,L185,0)</f>
        <v>0</v>
      </c>
      <c r="AK185" s="26">
        <f>IF(AN185=15,L185,0)</f>
        <v>0</v>
      </c>
      <c r="AL185" s="26">
        <f>IF(AN185=21,L185,0)</f>
        <v>0</v>
      </c>
      <c r="AN185" s="12">
        <v>21</v>
      </c>
      <c r="AO185" s="12">
        <f>K185*0.840553281008826</f>
        <v>0</v>
      </c>
      <c r="AP185" s="12">
        <f>K185*(1-0.840553281008826)</f>
        <v>0</v>
      </c>
      <c r="AQ185" s="32" t="s">
        <v>91</v>
      </c>
      <c r="AV185" s="12">
        <f>AW185+AX185</f>
        <v>0</v>
      </c>
      <c r="AW185" s="12">
        <f>J185*AO185</f>
        <v>0</v>
      </c>
      <c r="AX185" s="12">
        <f>J185*AP185</f>
        <v>0</v>
      </c>
      <c r="AY185" s="78" t="s">
        <v>901</v>
      </c>
      <c r="AZ185" s="78" t="s">
        <v>920</v>
      </c>
      <c r="BA185" s="27" t="s">
        <v>928</v>
      </c>
      <c r="BC185" s="12">
        <f>AW185+AX185</f>
        <v>0</v>
      </c>
      <c r="BD185" s="12">
        <f>K185/(100-BE185)*100</f>
        <v>0</v>
      </c>
      <c r="BE185" s="12">
        <v>0</v>
      </c>
      <c r="BF185" s="12">
        <f>185</f>
        <v>185</v>
      </c>
      <c r="BH185" s="26">
        <f>J185*AO185</f>
        <v>0</v>
      </c>
      <c r="BI185" s="26">
        <f>J185*AP185</f>
        <v>0</v>
      </c>
      <c r="BJ185" s="26">
        <f>J185*K185</f>
        <v>0</v>
      </c>
    </row>
    <row r="186" spans="1:62" x14ac:dyDescent="0.2">
      <c r="A186" s="18" t="s">
        <v>190</v>
      </c>
      <c r="B186" s="18" t="s">
        <v>7</v>
      </c>
      <c r="C186" s="18" t="s">
        <v>402</v>
      </c>
      <c r="D186" s="111" t="s">
        <v>669</v>
      </c>
      <c r="E186" s="112"/>
      <c r="F186" s="112"/>
      <c r="G186" s="112"/>
      <c r="H186" s="112"/>
      <c r="I186" s="18" t="s">
        <v>782</v>
      </c>
      <c r="J186" s="26">
        <v>12.25</v>
      </c>
      <c r="K186" s="69">
        <v>0</v>
      </c>
      <c r="L186" s="26">
        <f>J186*K186</f>
        <v>0</v>
      </c>
      <c r="M186" s="32" t="s">
        <v>874</v>
      </c>
      <c r="Z186" s="12">
        <f>IF(AQ186="5",BJ186,0)</f>
        <v>0</v>
      </c>
      <c r="AB186" s="12">
        <f>IF(AQ186="1",BH186,0)</f>
        <v>0</v>
      </c>
      <c r="AC186" s="12">
        <f>IF(AQ186="1",BI186,0)</f>
        <v>0</v>
      </c>
      <c r="AD186" s="12">
        <f>IF(AQ186="7",BH186,0)</f>
        <v>0</v>
      </c>
      <c r="AE186" s="12">
        <f>IF(AQ186="7",BI186,0)</f>
        <v>0</v>
      </c>
      <c r="AF186" s="12">
        <f>IF(AQ186="2",BH186,0)</f>
        <v>0</v>
      </c>
      <c r="AG186" s="12">
        <f>IF(AQ186="2",BI186,0)</f>
        <v>0</v>
      </c>
      <c r="AH186" s="12">
        <f>IF(AQ186="0",BJ186,0)</f>
        <v>0</v>
      </c>
      <c r="AI186" s="27" t="s">
        <v>7</v>
      </c>
      <c r="AJ186" s="26">
        <f>IF(AN186=0,L186,0)</f>
        <v>0</v>
      </c>
      <c r="AK186" s="26">
        <f>IF(AN186=15,L186,0)</f>
        <v>0</v>
      </c>
      <c r="AL186" s="26">
        <f>IF(AN186=21,L186,0)</f>
        <v>0</v>
      </c>
      <c r="AN186" s="12">
        <v>21</v>
      </c>
      <c r="AO186" s="12">
        <f>K186*0.361722976037238</f>
        <v>0</v>
      </c>
      <c r="AP186" s="12">
        <f>K186*(1-0.361722976037238)</f>
        <v>0</v>
      </c>
      <c r="AQ186" s="32" t="s">
        <v>91</v>
      </c>
      <c r="AV186" s="12">
        <f>AW186+AX186</f>
        <v>0</v>
      </c>
      <c r="AW186" s="12">
        <f>J186*AO186</f>
        <v>0</v>
      </c>
      <c r="AX186" s="12">
        <f>J186*AP186</f>
        <v>0</v>
      </c>
      <c r="AY186" s="78" t="s">
        <v>901</v>
      </c>
      <c r="AZ186" s="78" t="s">
        <v>920</v>
      </c>
      <c r="BA186" s="27" t="s">
        <v>928</v>
      </c>
      <c r="BC186" s="12">
        <f>AW186+AX186</f>
        <v>0</v>
      </c>
      <c r="BD186" s="12">
        <f>K186/(100-BE186)*100</f>
        <v>0</v>
      </c>
      <c r="BE186" s="12">
        <v>0</v>
      </c>
      <c r="BF186" s="12">
        <f>186</f>
        <v>186</v>
      </c>
      <c r="BH186" s="26">
        <f>J186*AO186</f>
        <v>0</v>
      </c>
      <c r="BI186" s="26">
        <f>J186*AP186</f>
        <v>0</v>
      </c>
      <c r="BJ186" s="26">
        <f>J186*K186</f>
        <v>0</v>
      </c>
    </row>
    <row r="187" spans="1:62" x14ac:dyDescent="0.2">
      <c r="D187" s="157" t="s">
        <v>858</v>
      </c>
      <c r="E187" s="158"/>
      <c r="F187" s="158"/>
      <c r="G187" s="158"/>
      <c r="H187" s="158"/>
      <c r="K187" s="71"/>
    </row>
    <row r="188" spans="1:62" x14ac:dyDescent="0.2">
      <c r="C188" s="62" t="s">
        <v>296</v>
      </c>
      <c r="D188" s="113" t="s">
        <v>671</v>
      </c>
      <c r="E188" s="114"/>
      <c r="F188" s="114"/>
      <c r="G188" s="114"/>
      <c r="H188" s="114"/>
      <c r="I188" s="114"/>
      <c r="J188" s="114"/>
      <c r="K188" s="154"/>
      <c r="L188" s="114"/>
      <c r="M188" s="114"/>
    </row>
    <row r="189" spans="1:62" x14ac:dyDescent="0.2">
      <c r="A189" s="18" t="s">
        <v>191</v>
      </c>
      <c r="B189" s="18" t="s">
        <v>7</v>
      </c>
      <c r="C189" s="18" t="s">
        <v>403</v>
      </c>
      <c r="D189" s="111" t="s">
        <v>672</v>
      </c>
      <c r="E189" s="112"/>
      <c r="F189" s="112"/>
      <c r="G189" s="112"/>
      <c r="H189" s="112"/>
      <c r="I189" s="18" t="s">
        <v>790</v>
      </c>
      <c r="J189" s="26">
        <v>141.75810000000001</v>
      </c>
      <c r="K189" s="69">
        <v>0</v>
      </c>
      <c r="L189" s="26">
        <f>J189*K189</f>
        <v>0</v>
      </c>
      <c r="M189" s="32" t="s">
        <v>874</v>
      </c>
      <c r="Z189" s="12">
        <f>IF(AQ189="5",BJ189,0)</f>
        <v>0</v>
      </c>
      <c r="AB189" s="12">
        <f>IF(AQ189="1",BH189,0)</f>
        <v>0</v>
      </c>
      <c r="AC189" s="12">
        <f>IF(AQ189="1",BI189,0)</f>
        <v>0</v>
      </c>
      <c r="AD189" s="12">
        <f>IF(AQ189="7",BH189,0)</f>
        <v>0</v>
      </c>
      <c r="AE189" s="12">
        <f>IF(AQ189="7",BI189,0)</f>
        <v>0</v>
      </c>
      <c r="AF189" s="12">
        <f>IF(AQ189="2",BH189,0)</f>
        <v>0</v>
      </c>
      <c r="AG189" s="12">
        <f>IF(AQ189="2",BI189,0)</f>
        <v>0</v>
      </c>
      <c r="AH189" s="12">
        <f>IF(AQ189="0",BJ189,0)</f>
        <v>0</v>
      </c>
      <c r="AI189" s="27" t="s">
        <v>7</v>
      </c>
      <c r="AJ189" s="26">
        <f>IF(AN189=0,L189,0)</f>
        <v>0</v>
      </c>
      <c r="AK189" s="26">
        <f>IF(AN189=15,L189,0)</f>
        <v>0</v>
      </c>
      <c r="AL189" s="26">
        <f>IF(AN189=21,L189,0)</f>
        <v>0</v>
      </c>
      <c r="AN189" s="12">
        <v>21</v>
      </c>
      <c r="AO189" s="12">
        <f>K189*0</f>
        <v>0</v>
      </c>
      <c r="AP189" s="12">
        <f>K189*(1-0)</f>
        <v>0</v>
      </c>
      <c r="AQ189" s="32" t="s">
        <v>89</v>
      </c>
      <c r="AV189" s="12">
        <f>AW189+AX189</f>
        <v>0</v>
      </c>
      <c r="AW189" s="12">
        <f>J189*AO189</f>
        <v>0</v>
      </c>
      <c r="AX189" s="12">
        <f>J189*AP189</f>
        <v>0</v>
      </c>
      <c r="AY189" s="78" t="s">
        <v>901</v>
      </c>
      <c r="AZ189" s="78" t="s">
        <v>920</v>
      </c>
      <c r="BA189" s="27" t="s">
        <v>928</v>
      </c>
      <c r="BC189" s="12">
        <f>AW189+AX189</f>
        <v>0</v>
      </c>
      <c r="BD189" s="12">
        <f>K189/(100-BE189)*100</f>
        <v>0</v>
      </c>
      <c r="BE189" s="12">
        <v>0</v>
      </c>
      <c r="BF189" s="12">
        <f>189</f>
        <v>189</v>
      </c>
      <c r="BH189" s="26">
        <f>J189*AO189</f>
        <v>0</v>
      </c>
      <c r="BI189" s="26">
        <f>J189*AP189</f>
        <v>0</v>
      </c>
      <c r="BJ189" s="26">
        <f>J189*K189</f>
        <v>0</v>
      </c>
    </row>
    <row r="190" spans="1:62" x14ac:dyDescent="0.2">
      <c r="A190" s="54"/>
      <c r="B190" s="19" t="s">
        <v>7</v>
      </c>
      <c r="C190" s="19" t="s">
        <v>28</v>
      </c>
      <c r="D190" s="117" t="s">
        <v>57</v>
      </c>
      <c r="E190" s="118"/>
      <c r="F190" s="118"/>
      <c r="G190" s="118"/>
      <c r="H190" s="118"/>
      <c r="I190" s="54" t="s">
        <v>5</v>
      </c>
      <c r="J190" s="54" t="s">
        <v>5</v>
      </c>
      <c r="K190" s="68" t="s">
        <v>5</v>
      </c>
      <c r="L190" s="80">
        <f>SUM(L191:L206)</f>
        <v>0</v>
      </c>
      <c r="M190" s="27"/>
      <c r="AI190" s="27" t="s">
        <v>7</v>
      </c>
      <c r="AS190" s="80">
        <f>SUM(AJ191:AJ206)</f>
        <v>0</v>
      </c>
      <c r="AT190" s="80">
        <f>SUM(AK191:AK206)</f>
        <v>0</v>
      </c>
      <c r="AU190" s="80">
        <f>SUM(AL191:AL206)</f>
        <v>0</v>
      </c>
    </row>
    <row r="191" spans="1:62" x14ac:dyDescent="0.2">
      <c r="A191" s="18" t="s">
        <v>192</v>
      </c>
      <c r="B191" s="18" t="s">
        <v>7</v>
      </c>
      <c r="C191" s="18" t="s">
        <v>404</v>
      </c>
      <c r="D191" s="111" t="s">
        <v>673</v>
      </c>
      <c r="E191" s="112"/>
      <c r="F191" s="112"/>
      <c r="G191" s="112"/>
      <c r="H191" s="112"/>
      <c r="I191" s="18" t="s">
        <v>783</v>
      </c>
      <c r="J191" s="26">
        <v>38.5</v>
      </c>
      <c r="K191" s="69">
        <v>0</v>
      </c>
      <c r="L191" s="26">
        <f>J191*K191</f>
        <v>0</v>
      </c>
      <c r="M191" s="32" t="s">
        <v>874</v>
      </c>
      <c r="Z191" s="12">
        <f>IF(AQ191="5",BJ191,0)</f>
        <v>0</v>
      </c>
      <c r="AB191" s="12">
        <f>IF(AQ191="1",BH191,0)</f>
        <v>0</v>
      </c>
      <c r="AC191" s="12">
        <f>IF(AQ191="1",BI191,0)</f>
        <v>0</v>
      </c>
      <c r="AD191" s="12">
        <f>IF(AQ191="7",BH191,0)</f>
        <v>0</v>
      </c>
      <c r="AE191" s="12">
        <f>IF(AQ191="7",BI191,0)</f>
        <v>0</v>
      </c>
      <c r="AF191" s="12">
        <f>IF(AQ191="2",BH191,0)</f>
        <v>0</v>
      </c>
      <c r="AG191" s="12">
        <f>IF(AQ191="2",BI191,0)</f>
        <v>0</v>
      </c>
      <c r="AH191" s="12">
        <f>IF(AQ191="0",BJ191,0)</f>
        <v>0</v>
      </c>
      <c r="AI191" s="27" t="s">
        <v>7</v>
      </c>
      <c r="AJ191" s="26">
        <f>IF(AN191=0,L191,0)</f>
        <v>0</v>
      </c>
      <c r="AK191" s="26">
        <f>IF(AN191=15,L191,0)</f>
        <v>0</v>
      </c>
      <c r="AL191" s="26">
        <f>IF(AN191=21,L191,0)</f>
        <v>0</v>
      </c>
      <c r="AN191" s="12">
        <v>21</v>
      </c>
      <c r="AO191" s="12">
        <f>K191*0.561525903889328</f>
        <v>0</v>
      </c>
      <c r="AP191" s="12">
        <f>K191*(1-0.561525903889328)</f>
        <v>0</v>
      </c>
      <c r="AQ191" s="32" t="s">
        <v>91</v>
      </c>
      <c r="AV191" s="12">
        <f>AW191+AX191</f>
        <v>0</v>
      </c>
      <c r="AW191" s="12">
        <f>J191*AO191</f>
        <v>0</v>
      </c>
      <c r="AX191" s="12">
        <f>J191*AP191</f>
        <v>0</v>
      </c>
      <c r="AY191" s="78" t="s">
        <v>902</v>
      </c>
      <c r="AZ191" s="78" t="s">
        <v>921</v>
      </c>
      <c r="BA191" s="27" t="s">
        <v>928</v>
      </c>
      <c r="BC191" s="12">
        <f>AW191+AX191</f>
        <v>0</v>
      </c>
      <c r="BD191" s="12">
        <f>K191/(100-BE191)*100</f>
        <v>0</v>
      </c>
      <c r="BE191" s="12">
        <v>0</v>
      </c>
      <c r="BF191" s="12">
        <f>191</f>
        <v>191</v>
      </c>
      <c r="BH191" s="26">
        <f>J191*AO191</f>
        <v>0</v>
      </c>
      <c r="BI191" s="26">
        <f>J191*AP191</f>
        <v>0</v>
      </c>
      <c r="BJ191" s="26">
        <f>J191*K191</f>
        <v>0</v>
      </c>
    </row>
    <row r="192" spans="1:62" x14ac:dyDescent="0.2">
      <c r="D192" s="157" t="s">
        <v>859</v>
      </c>
      <c r="E192" s="158"/>
      <c r="F192" s="158"/>
      <c r="G192" s="158"/>
      <c r="H192" s="158"/>
      <c r="K192" s="71"/>
    </row>
    <row r="193" spans="1:62" x14ac:dyDescent="0.2">
      <c r="A193" s="18" t="s">
        <v>193</v>
      </c>
      <c r="B193" s="18" t="s">
        <v>7</v>
      </c>
      <c r="C193" s="18" t="s">
        <v>405</v>
      </c>
      <c r="D193" s="111" t="s">
        <v>674</v>
      </c>
      <c r="E193" s="112"/>
      <c r="F193" s="112"/>
      <c r="G193" s="112"/>
      <c r="H193" s="112"/>
      <c r="I193" s="18" t="s">
        <v>782</v>
      </c>
      <c r="J193" s="26">
        <v>110.73</v>
      </c>
      <c r="K193" s="69">
        <v>0</v>
      </c>
      <c r="L193" s="26">
        <f>J193*K193</f>
        <v>0</v>
      </c>
      <c r="M193" s="32" t="s">
        <v>874</v>
      </c>
      <c r="Z193" s="12">
        <f>IF(AQ193="5",BJ193,0)</f>
        <v>0</v>
      </c>
      <c r="AB193" s="12">
        <f>IF(AQ193="1",BH193,0)</f>
        <v>0</v>
      </c>
      <c r="AC193" s="12">
        <f>IF(AQ193="1",BI193,0)</f>
        <v>0</v>
      </c>
      <c r="AD193" s="12">
        <f>IF(AQ193="7",BH193,0)</f>
        <v>0</v>
      </c>
      <c r="AE193" s="12">
        <f>IF(AQ193="7",BI193,0)</f>
        <v>0</v>
      </c>
      <c r="AF193" s="12">
        <f>IF(AQ193="2",BH193,0)</f>
        <v>0</v>
      </c>
      <c r="AG193" s="12">
        <f>IF(AQ193="2",BI193,0)</f>
        <v>0</v>
      </c>
      <c r="AH193" s="12">
        <f>IF(AQ193="0",BJ193,0)</f>
        <v>0</v>
      </c>
      <c r="AI193" s="27" t="s">
        <v>7</v>
      </c>
      <c r="AJ193" s="26">
        <f>IF(AN193=0,L193,0)</f>
        <v>0</v>
      </c>
      <c r="AK193" s="26">
        <f>IF(AN193=15,L193,0)</f>
        <v>0</v>
      </c>
      <c r="AL193" s="26">
        <f>IF(AN193=21,L193,0)</f>
        <v>0</v>
      </c>
      <c r="AN193" s="12">
        <v>21</v>
      </c>
      <c r="AO193" s="12">
        <f>K193*0.0177686710307837</f>
        <v>0</v>
      </c>
      <c r="AP193" s="12">
        <f>K193*(1-0.0177686710307837)</f>
        <v>0</v>
      </c>
      <c r="AQ193" s="32" t="s">
        <v>91</v>
      </c>
      <c r="AV193" s="12">
        <f>AW193+AX193</f>
        <v>0</v>
      </c>
      <c r="AW193" s="12">
        <f>J193*AO193</f>
        <v>0</v>
      </c>
      <c r="AX193" s="12">
        <f>J193*AP193</f>
        <v>0</v>
      </c>
      <c r="AY193" s="78" t="s">
        <v>902</v>
      </c>
      <c r="AZ193" s="78" t="s">
        <v>921</v>
      </c>
      <c r="BA193" s="27" t="s">
        <v>928</v>
      </c>
      <c r="BC193" s="12">
        <f>AW193+AX193</f>
        <v>0</v>
      </c>
      <c r="BD193" s="12">
        <f>K193/(100-BE193)*100</f>
        <v>0</v>
      </c>
      <c r="BE193" s="12">
        <v>0</v>
      </c>
      <c r="BF193" s="12">
        <f>193</f>
        <v>193</v>
      </c>
      <c r="BH193" s="26">
        <f>J193*AO193</f>
        <v>0</v>
      </c>
      <c r="BI193" s="26">
        <f>J193*AP193</f>
        <v>0</v>
      </c>
      <c r="BJ193" s="26">
        <f>J193*K193</f>
        <v>0</v>
      </c>
    </row>
    <row r="194" spans="1:62" ht="25.7" customHeight="1" x14ac:dyDescent="0.2">
      <c r="C194" s="62" t="s">
        <v>296</v>
      </c>
      <c r="D194" s="113" t="s">
        <v>676</v>
      </c>
      <c r="E194" s="114"/>
      <c r="F194" s="114"/>
      <c r="G194" s="114"/>
      <c r="H194" s="114"/>
      <c r="I194" s="114"/>
      <c r="J194" s="114"/>
      <c r="K194" s="154"/>
      <c r="L194" s="114"/>
      <c r="M194" s="114"/>
    </row>
    <row r="195" spans="1:62" x14ac:dyDescent="0.2">
      <c r="A195" s="18" t="s">
        <v>194</v>
      </c>
      <c r="B195" s="18" t="s">
        <v>7</v>
      </c>
      <c r="C195" s="18" t="s">
        <v>406</v>
      </c>
      <c r="D195" s="111" t="s">
        <v>677</v>
      </c>
      <c r="E195" s="112"/>
      <c r="F195" s="112"/>
      <c r="G195" s="112"/>
      <c r="H195" s="112"/>
      <c r="I195" s="18" t="s">
        <v>782</v>
      </c>
      <c r="J195" s="26">
        <v>61.2</v>
      </c>
      <c r="K195" s="69">
        <v>0</v>
      </c>
      <c r="L195" s="26">
        <f>J195*K195</f>
        <v>0</v>
      </c>
      <c r="M195" s="32" t="s">
        <v>874</v>
      </c>
      <c r="Z195" s="12">
        <f>IF(AQ195="5",BJ195,0)</f>
        <v>0</v>
      </c>
      <c r="AB195" s="12">
        <f>IF(AQ195="1",BH195,0)</f>
        <v>0</v>
      </c>
      <c r="AC195" s="12">
        <f>IF(AQ195="1",BI195,0)</f>
        <v>0</v>
      </c>
      <c r="AD195" s="12">
        <f>IF(AQ195="7",BH195,0)</f>
        <v>0</v>
      </c>
      <c r="AE195" s="12">
        <f>IF(AQ195="7",BI195,0)</f>
        <v>0</v>
      </c>
      <c r="AF195" s="12">
        <f>IF(AQ195="2",BH195,0)</f>
        <v>0</v>
      </c>
      <c r="AG195" s="12">
        <f>IF(AQ195="2",BI195,0)</f>
        <v>0</v>
      </c>
      <c r="AH195" s="12">
        <f>IF(AQ195="0",BJ195,0)</f>
        <v>0</v>
      </c>
      <c r="AI195" s="27" t="s">
        <v>7</v>
      </c>
      <c r="AJ195" s="26">
        <f>IF(AN195=0,L195,0)</f>
        <v>0</v>
      </c>
      <c r="AK195" s="26">
        <f>IF(AN195=15,L195,0)</f>
        <v>0</v>
      </c>
      <c r="AL195" s="26">
        <f>IF(AN195=21,L195,0)</f>
        <v>0</v>
      </c>
      <c r="AN195" s="12">
        <v>21</v>
      </c>
      <c r="AO195" s="12">
        <f>K195*0.0201761381383491</f>
        <v>0</v>
      </c>
      <c r="AP195" s="12">
        <f>K195*(1-0.0201761381383491)</f>
        <v>0</v>
      </c>
      <c r="AQ195" s="32" t="s">
        <v>91</v>
      </c>
      <c r="AV195" s="12">
        <f>AW195+AX195</f>
        <v>0</v>
      </c>
      <c r="AW195" s="12">
        <f>J195*AO195</f>
        <v>0</v>
      </c>
      <c r="AX195" s="12">
        <f>J195*AP195</f>
        <v>0</v>
      </c>
      <c r="AY195" s="78" t="s">
        <v>902</v>
      </c>
      <c r="AZ195" s="78" t="s">
        <v>921</v>
      </c>
      <c r="BA195" s="27" t="s">
        <v>928</v>
      </c>
      <c r="BC195" s="12">
        <f>AW195+AX195</f>
        <v>0</v>
      </c>
      <c r="BD195" s="12">
        <f>K195/(100-BE195)*100</f>
        <v>0</v>
      </c>
      <c r="BE195" s="12">
        <v>0</v>
      </c>
      <c r="BF195" s="12">
        <f>195</f>
        <v>195</v>
      </c>
      <c r="BH195" s="26">
        <f>J195*AO195</f>
        <v>0</v>
      </c>
      <c r="BI195" s="26">
        <f>J195*AP195</f>
        <v>0</v>
      </c>
      <c r="BJ195" s="26">
        <f>J195*K195</f>
        <v>0</v>
      </c>
    </row>
    <row r="196" spans="1:62" ht="25.7" customHeight="1" x14ac:dyDescent="0.2">
      <c r="C196" s="62" t="s">
        <v>296</v>
      </c>
      <c r="D196" s="113" t="s">
        <v>676</v>
      </c>
      <c r="E196" s="114"/>
      <c r="F196" s="114"/>
      <c r="G196" s="114"/>
      <c r="H196" s="114"/>
      <c r="I196" s="114"/>
      <c r="J196" s="114"/>
      <c r="K196" s="154"/>
      <c r="L196" s="114"/>
      <c r="M196" s="114"/>
    </row>
    <row r="197" spans="1:62" x14ac:dyDescent="0.2">
      <c r="A197" s="18" t="s">
        <v>195</v>
      </c>
      <c r="B197" s="18" t="s">
        <v>7</v>
      </c>
      <c r="C197" s="18" t="s">
        <v>407</v>
      </c>
      <c r="D197" s="111" t="s">
        <v>678</v>
      </c>
      <c r="E197" s="112"/>
      <c r="F197" s="112"/>
      <c r="G197" s="112"/>
      <c r="H197" s="112"/>
      <c r="I197" s="18" t="s">
        <v>782</v>
      </c>
      <c r="J197" s="26">
        <v>136.19999999999999</v>
      </c>
      <c r="K197" s="69">
        <v>0</v>
      </c>
      <c r="L197" s="26">
        <f>J197*K197</f>
        <v>0</v>
      </c>
      <c r="M197" s="32" t="s">
        <v>874</v>
      </c>
      <c r="Z197" s="12">
        <f>IF(AQ197="5",BJ197,0)</f>
        <v>0</v>
      </c>
      <c r="AB197" s="12">
        <f>IF(AQ197="1",BH197,0)</f>
        <v>0</v>
      </c>
      <c r="AC197" s="12">
        <f>IF(AQ197="1",BI197,0)</f>
        <v>0</v>
      </c>
      <c r="AD197" s="12">
        <f>IF(AQ197="7",BH197,0)</f>
        <v>0</v>
      </c>
      <c r="AE197" s="12">
        <f>IF(AQ197="7",BI197,0)</f>
        <v>0</v>
      </c>
      <c r="AF197" s="12">
        <f>IF(AQ197="2",BH197,0)</f>
        <v>0</v>
      </c>
      <c r="AG197" s="12">
        <f>IF(AQ197="2",BI197,0)</f>
        <v>0</v>
      </c>
      <c r="AH197" s="12">
        <f>IF(AQ197="0",BJ197,0)</f>
        <v>0</v>
      </c>
      <c r="AI197" s="27" t="s">
        <v>7</v>
      </c>
      <c r="AJ197" s="26">
        <f>IF(AN197=0,L197,0)</f>
        <v>0</v>
      </c>
      <c r="AK197" s="26">
        <f>IF(AN197=15,L197,0)</f>
        <v>0</v>
      </c>
      <c r="AL197" s="26">
        <f>IF(AN197=21,L197,0)</f>
        <v>0</v>
      </c>
      <c r="AN197" s="12">
        <v>21</v>
      </c>
      <c r="AO197" s="12">
        <f>K197*0.0243780904730599</f>
        <v>0</v>
      </c>
      <c r="AP197" s="12">
        <f>K197*(1-0.0243780904730599)</f>
        <v>0</v>
      </c>
      <c r="AQ197" s="32" t="s">
        <v>91</v>
      </c>
      <c r="AV197" s="12">
        <f>AW197+AX197</f>
        <v>0</v>
      </c>
      <c r="AW197" s="12">
        <f>J197*AO197</f>
        <v>0</v>
      </c>
      <c r="AX197" s="12">
        <f>J197*AP197</f>
        <v>0</v>
      </c>
      <c r="AY197" s="78" t="s">
        <v>902</v>
      </c>
      <c r="AZ197" s="78" t="s">
        <v>921</v>
      </c>
      <c r="BA197" s="27" t="s">
        <v>928</v>
      </c>
      <c r="BC197" s="12">
        <f>AW197+AX197</f>
        <v>0</v>
      </c>
      <c r="BD197" s="12">
        <f>K197/(100-BE197)*100</f>
        <v>0</v>
      </c>
      <c r="BE197" s="12">
        <v>0</v>
      </c>
      <c r="BF197" s="12">
        <f>197</f>
        <v>197</v>
      </c>
      <c r="BH197" s="26">
        <f>J197*AO197</f>
        <v>0</v>
      </c>
      <c r="BI197" s="26">
        <f>J197*AP197</f>
        <v>0</v>
      </c>
      <c r="BJ197" s="26">
        <f>J197*K197</f>
        <v>0</v>
      </c>
    </row>
    <row r="198" spans="1:62" ht="25.7" customHeight="1" x14ac:dyDescent="0.2">
      <c r="C198" s="62" t="s">
        <v>296</v>
      </c>
      <c r="D198" s="113" t="s">
        <v>676</v>
      </c>
      <c r="E198" s="114"/>
      <c r="F198" s="114"/>
      <c r="G198" s="114"/>
      <c r="H198" s="114"/>
      <c r="I198" s="114"/>
      <c r="J198" s="114"/>
      <c r="K198" s="154"/>
      <c r="L198" s="114"/>
      <c r="M198" s="114"/>
    </row>
    <row r="199" spans="1:62" x14ac:dyDescent="0.2">
      <c r="A199" s="20" t="s">
        <v>196</v>
      </c>
      <c r="B199" s="20" t="s">
        <v>7</v>
      </c>
      <c r="C199" s="20" t="s">
        <v>408</v>
      </c>
      <c r="D199" s="121" t="s">
        <v>680</v>
      </c>
      <c r="E199" s="122"/>
      <c r="F199" s="122"/>
      <c r="G199" s="122"/>
      <c r="H199" s="122"/>
      <c r="I199" s="20" t="s">
        <v>785</v>
      </c>
      <c r="J199" s="29">
        <v>5.367</v>
      </c>
      <c r="K199" s="70">
        <v>0</v>
      </c>
      <c r="L199" s="29">
        <f>J199*K199</f>
        <v>0</v>
      </c>
      <c r="M199" s="33" t="s">
        <v>874</v>
      </c>
      <c r="Z199" s="12">
        <f>IF(AQ199="5",BJ199,0)</f>
        <v>0</v>
      </c>
      <c r="AB199" s="12">
        <f>IF(AQ199="1",BH199,0)</f>
        <v>0</v>
      </c>
      <c r="AC199" s="12">
        <f>IF(AQ199="1",BI199,0)</f>
        <v>0</v>
      </c>
      <c r="AD199" s="12">
        <f>IF(AQ199="7",BH199,0)</f>
        <v>0</v>
      </c>
      <c r="AE199" s="12">
        <f>IF(AQ199="7",BI199,0)</f>
        <v>0</v>
      </c>
      <c r="AF199" s="12">
        <f>IF(AQ199="2",BH199,0)</f>
        <v>0</v>
      </c>
      <c r="AG199" s="12">
        <f>IF(AQ199="2",BI199,0)</f>
        <v>0</v>
      </c>
      <c r="AH199" s="12">
        <f>IF(AQ199="0",BJ199,0)</f>
        <v>0</v>
      </c>
      <c r="AI199" s="27" t="s">
        <v>7</v>
      </c>
      <c r="AJ199" s="29">
        <f>IF(AN199=0,L199,0)</f>
        <v>0</v>
      </c>
      <c r="AK199" s="29">
        <f>IF(AN199=15,L199,0)</f>
        <v>0</v>
      </c>
      <c r="AL199" s="29">
        <f>IF(AN199=21,L199,0)</f>
        <v>0</v>
      </c>
      <c r="AN199" s="12">
        <v>21</v>
      </c>
      <c r="AO199" s="12">
        <f>K199*1</f>
        <v>0</v>
      </c>
      <c r="AP199" s="12">
        <f>K199*(1-1)</f>
        <v>0</v>
      </c>
      <c r="AQ199" s="33" t="s">
        <v>91</v>
      </c>
      <c r="AV199" s="12">
        <f>AW199+AX199</f>
        <v>0</v>
      </c>
      <c r="AW199" s="12">
        <f>J199*AO199</f>
        <v>0</v>
      </c>
      <c r="AX199" s="12">
        <f>J199*AP199</f>
        <v>0</v>
      </c>
      <c r="AY199" s="78" t="s">
        <v>902</v>
      </c>
      <c r="AZ199" s="78" t="s">
        <v>921</v>
      </c>
      <c r="BA199" s="27" t="s">
        <v>928</v>
      </c>
      <c r="BC199" s="12">
        <f>AW199+AX199</f>
        <v>0</v>
      </c>
      <c r="BD199" s="12">
        <f>K199/(100-BE199)*100</f>
        <v>0</v>
      </c>
      <c r="BE199" s="12">
        <v>0</v>
      </c>
      <c r="BF199" s="12">
        <f>199</f>
        <v>199</v>
      </c>
      <c r="BH199" s="29">
        <f>J199*AO199</f>
        <v>0</v>
      </c>
      <c r="BI199" s="29">
        <f>J199*AP199</f>
        <v>0</v>
      </c>
      <c r="BJ199" s="29">
        <f>J199*K199</f>
        <v>0</v>
      </c>
    </row>
    <row r="200" spans="1:62" x14ac:dyDescent="0.2">
      <c r="A200" s="18" t="s">
        <v>197</v>
      </c>
      <c r="B200" s="18" t="s">
        <v>7</v>
      </c>
      <c r="C200" s="18" t="s">
        <v>409</v>
      </c>
      <c r="D200" s="111" t="s">
        <v>681</v>
      </c>
      <c r="E200" s="112"/>
      <c r="F200" s="112"/>
      <c r="G200" s="112"/>
      <c r="H200" s="112"/>
      <c r="I200" s="18" t="s">
        <v>785</v>
      </c>
      <c r="J200" s="26">
        <v>5.367</v>
      </c>
      <c r="K200" s="69">
        <v>0</v>
      </c>
      <c r="L200" s="26">
        <f>J200*K200</f>
        <v>0</v>
      </c>
      <c r="M200" s="32" t="s">
        <v>874</v>
      </c>
      <c r="Z200" s="12">
        <f>IF(AQ200="5",BJ200,0)</f>
        <v>0</v>
      </c>
      <c r="AB200" s="12">
        <f>IF(AQ200="1",BH200,0)</f>
        <v>0</v>
      </c>
      <c r="AC200" s="12">
        <f>IF(AQ200="1",BI200,0)</f>
        <v>0</v>
      </c>
      <c r="AD200" s="12">
        <f>IF(AQ200="7",BH200,0)</f>
        <v>0</v>
      </c>
      <c r="AE200" s="12">
        <f>IF(AQ200="7",BI200,0)</f>
        <v>0</v>
      </c>
      <c r="AF200" s="12">
        <f>IF(AQ200="2",BH200,0)</f>
        <v>0</v>
      </c>
      <c r="AG200" s="12">
        <f>IF(AQ200="2",BI200,0)</f>
        <v>0</v>
      </c>
      <c r="AH200" s="12">
        <f>IF(AQ200="0",BJ200,0)</f>
        <v>0</v>
      </c>
      <c r="AI200" s="27" t="s">
        <v>7</v>
      </c>
      <c r="AJ200" s="26">
        <f>IF(AN200=0,L200,0)</f>
        <v>0</v>
      </c>
      <c r="AK200" s="26">
        <f>IF(AN200=15,L200,0)</f>
        <v>0</v>
      </c>
      <c r="AL200" s="26">
        <f>IF(AN200=21,L200,0)</f>
        <v>0</v>
      </c>
      <c r="AN200" s="12">
        <v>21</v>
      </c>
      <c r="AO200" s="12">
        <f>K200*0</f>
        <v>0</v>
      </c>
      <c r="AP200" s="12">
        <f>K200*(1-0)</f>
        <v>0</v>
      </c>
      <c r="AQ200" s="32" t="s">
        <v>91</v>
      </c>
      <c r="AV200" s="12">
        <f>AW200+AX200</f>
        <v>0</v>
      </c>
      <c r="AW200" s="12">
        <f>J200*AO200</f>
        <v>0</v>
      </c>
      <c r="AX200" s="12">
        <f>J200*AP200</f>
        <v>0</v>
      </c>
      <c r="AY200" s="78" t="s">
        <v>902</v>
      </c>
      <c r="AZ200" s="78" t="s">
        <v>921</v>
      </c>
      <c r="BA200" s="27" t="s">
        <v>928</v>
      </c>
      <c r="BC200" s="12">
        <f>AW200+AX200</f>
        <v>0</v>
      </c>
      <c r="BD200" s="12">
        <f>K200/(100-BE200)*100</f>
        <v>0</v>
      </c>
      <c r="BE200" s="12">
        <v>0</v>
      </c>
      <c r="BF200" s="12">
        <f>200</f>
        <v>200</v>
      </c>
      <c r="BH200" s="26">
        <f>J200*AO200</f>
        <v>0</v>
      </c>
      <c r="BI200" s="26">
        <f>J200*AP200</f>
        <v>0</v>
      </c>
      <c r="BJ200" s="26">
        <f>J200*K200</f>
        <v>0</v>
      </c>
    </row>
    <row r="201" spans="1:62" x14ac:dyDescent="0.2">
      <c r="C201" s="62" t="s">
        <v>296</v>
      </c>
      <c r="D201" s="113" t="s">
        <v>682</v>
      </c>
      <c r="E201" s="114"/>
      <c r="F201" s="114"/>
      <c r="G201" s="114"/>
      <c r="H201" s="114"/>
      <c r="I201" s="114"/>
      <c r="J201" s="114"/>
      <c r="K201" s="154"/>
      <c r="L201" s="114"/>
      <c r="M201" s="114"/>
    </row>
    <row r="202" spans="1:62" x14ac:dyDescent="0.2">
      <c r="A202" s="18" t="s">
        <v>198</v>
      </c>
      <c r="B202" s="18" t="s">
        <v>7</v>
      </c>
      <c r="C202" s="18" t="s">
        <v>410</v>
      </c>
      <c r="D202" s="111" t="s">
        <v>683</v>
      </c>
      <c r="E202" s="112"/>
      <c r="F202" s="112"/>
      <c r="G202" s="112"/>
      <c r="H202" s="112"/>
      <c r="I202" s="18" t="s">
        <v>785</v>
      </c>
      <c r="J202" s="26">
        <v>5.367</v>
      </c>
      <c r="K202" s="69">
        <v>0</v>
      </c>
      <c r="L202" s="26">
        <f>J202*K202</f>
        <v>0</v>
      </c>
      <c r="M202" s="32" t="s">
        <v>874</v>
      </c>
      <c r="Z202" s="12">
        <f>IF(AQ202="5",BJ202,0)</f>
        <v>0</v>
      </c>
      <c r="AB202" s="12">
        <f>IF(AQ202="1",BH202,0)</f>
        <v>0</v>
      </c>
      <c r="AC202" s="12">
        <f>IF(AQ202="1",BI202,0)</f>
        <v>0</v>
      </c>
      <c r="AD202" s="12">
        <f>IF(AQ202="7",BH202,0)</f>
        <v>0</v>
      </c>
      <c r="AE202" s="12">
        <f>IF(AQ202="7",BI202,0)</f>
        <v>0</v>
      </c>
      <c r="AF202" s="12">
        <f>IF(AQ202="2",BH202,0)</f>
        <v>0</v>
      </c>
      <c r="AG202" s="12">
        <f>IF(AQ202="2",BI202,0)</f>
        <v>0</v>
      </c>
      <c r="AH202" s="12">
        <f>IF(AQ202="0",BJ202,0)</f>
        <v>0</v>
      </c>
      <c r="AI202" s="27" t="s">
        <v>7</v>
      </c>
      <c r="AJ202" s="26">
        <f>IF(AN202=0,L202,0)</f>
        <v>0</v>
      </c>
      <c r="AK202" s="26">
        <f>IF(AN202=15,L202,0)</f>
        <v>0</v>
      </c>
      <c r="AL202" s="26">
        <f>IF(AN202=21,L202,0)</f>
        <v>0</v>
      </c>
      <c r="AN202" s="12">
        <v>21</v>
      </c>
      <c r="AO202" s="12">
        <f>K202*0.999999724780237</f>
        <v>0</v>
      </c>
      <c r="AP202" s="12">
        <f>K202*(1-0.999999724780237)</f>
        <v>0</v>
      </c>
      <c r="AQ202" s="32" t="s">
        <v>91</v>
      </c>
      <c r="AV202" s="12">
        <f>AW202+AX202</f>
        <v>0</v>
      </c>
      <c r="AW202" s="12">
        <f>J202*AO202</f>
        <v>0</v>
      </c>
      <c r="AX202" s="12">
        <f>J202*AP202</f>
        <v>0</v>
      </c>
      <c r="AY202" s="78" t="s">
        <v>902</v>
      </c>
      <c r="AZ202" s="78" t="s">
        <v>921</v>
      </c>
      <c r="BA202" s="27" t="s">
        <v>928</v>
      </c>
      <c r="BC202" s="12">
        <f>AW202+AX202</f>
        <v>0</v>
      </c>
      <c r="BD202" s="12">
        <f>K202/(100-BE202)*100</f>
        <v>0</v>
      </c>
      <c r="BE202" s="12">
        <v>0</v>
      </c>
      <c r="BF202" s="12">
        <f>202</f>
        <v>202</v>
      </c>
      <c r="BH202" s="26">
        <f>J202*AO202</f>
        <v>0</v>
      </c>
      <c r="BI202" s="26">
        <f>J202*AP202</f>
        <v>0</v>
      </c>
      <c r="BJ202" s="26">
        <f>J202*K202</f>
        <v>0</v>
      </c>
    </row>
    <row r="203" spans="1:62" x14ac:dyDescent="0.2">
      <c r="C203" s="62" t="s">
        <v>296</v>
      </c>
      <c r="D203" s="113" t="s">
        <v>684</v>
      </c>
      <c r="E203" s="114"/>
      <c r="F203" s="114"/>
      <c r="G203" s="114"/>
      <c r="H203" s="114"/>
      <c r="I203" s="114"/>
      <c r="J203" s="114"/>
      <c r="K203" s="154"/>
      <c r="L203" s="114"/>
      <c r="M203" s="114"/>
    </row>
    <row r="204" spans="1:62" x14ac:dyDescent="0.2">
      <c r="A204" s="18" t="s">
        <v>199</v>
      </c>
      <c r="B204" s="18" t="s">
        <v>7</v>
      </c>
      <c r="C204" s="18" t="s">
        <v>411</v>
      </c>
      <c r="D204" s="111" t="s">
        <v>685</v>
      </c>
      <c r="E204" s="112"/>
      <c r="F204" s="112"/>
      <c r="G204" s="112"/>
      <c r="H204" s="112"/>
      <c r="I204" s="18" t="s">
        <v>783</v>
      </c>
      <c r="J204" s="26">
        <v>153.9956</v>
      </c>
      <c r="K204" s="69">
        <v>0</v>
      </c>
      <c r="L204" s="26">
        <f>J204*K204</f>
        <v>0</v>
      </c>
      <c r="M204" s="32" t="s">
        <v>874</v>
      </c>
      <c r="Z204" s="12">
        <f>IF(AQ204="5",BJ204,0)</f>
        <v>0</v>
      </c>
      <c r="AB204" s="12">
        <f>IF(AQ204="1",BH204,0)</f>
        <v>0</v>
      </c>
      <c r="AC204" s="12">
        <f>IF(AQ204="1",BI204,0)</f>
        <v>0</v>
      </c>
      <c r="AD204" s="12">
        <f>IF(AQ204="7",BH204,0)</f>
        <v>0</v>
      </c>
      <c r="AE204" s="12">
        <f>IF(AQ204="7",BI204,0)</f>
        <v>0</v>
      </c>
      <c r="AF204" s="12">
        <f>IF(AQ204="2",BH204,0)</f>
        <v>0</v>
      </c>
      <c r="AG204" s="12">
        <f>IF(AQ204="2",BI204,0)</f>
        <v>0</v>
      </c>
      <c r="AH204" s="12">
        <f>IF(AQ204="0",BJ204,0)</f>
        <v>0</v>
      </c>
      <c r="AI204" s="27" t="s">
        <v>7</v>
      </c>
      <c r="AJ204" s="26">
        <f>IF(AN204=0,L204,0)</f>
        <v>0</v>
      </c>
      <c r="AK204" s="26">
        <f>IF(AN204=15,L204,0)</f>
        <v>0</v>
      </c>
      <c r="AL204" s="26">
        <f>IF(AN204=21,L204,0)</f>
        <v>0</v>
      </c>
      <c r="AN204" s="12">
        <v>21</v>
      </c>
      <c r="AO204" s="12">
        <f>K204*0.73589785250153</f>
        <v>0</v>
      </c>
      <c r="AP204" s="12">
        <f>K204*(1-0.73589785250153)</f>
        <v>0</v>
      </c>
      <c r="AQ204" s="32" t="s">
        <v>91</v>
      </c>
      <c r="AV204" s="12">
        <f>AW204+AX204</f>
        <v>0</v>
      </c>
      <c r="AW204" s="12">
        <f>J204*AO204</f>
        <v>0</v>
      </c>
      <c r="AX204" s="12">
        <f>J204*AP204</f>
        <v>0</v>
      </c>
      <c r="AY204" s="78" t="s">
        <v>902</v>
      </c>
      <c r="AZ204" s="78" t="s">
        <v>921</v>
      </c>
      <c r="BA204" s="27" t="s">
        <v>928</v>
      </c>
      <c r="BC204" s="12">
        <f>AW204+AX204</f>
        <v>0</v>
      </c>
      <c r="BD204" s="12">
        <f>K204/(100-BE204)*100</f>
        <v>0</v>
      </c>
      <c r="BE204" s="12">
        <v>0</v>
      </c>
      <c r="BF204" s="12">
        <f>204</f>
        <v>204</v>
      </c>
      <c r="BH204" s="26">
        <f>J204*AO204</f>
        <v>0</v>
      </c>
      <c r="BI204" s="26">
        <f>J204*AP204</f>
        <v>0</v>
      </c>
      <c r="BJ204" s="26">
        <f>J204*K204</f>
        <v>0</v>
      </c>
    </row>
    <row r="205" spans="1:62" x14ac:dyDescent="0.2">
      <c r="C205" s="62" t="s">
        <v>296</v>
      </c>
      <c r="D205" s="113" t="s">
        <v>691</v>
      </c>
      <c r="E205" s="114"/>
      <c r="F205" s="114"/>
      <c r="G205" s="114"/>
      <c r="H205" s="114"/>
      <c r="I205" s="114"/>
      <c r="J205" s="114"/>
      <c r="K205" s="154"/>
      <c r="L205" s="114"/>
      <c r="M205" s="114"/>
    </row>
    <row r="206" spans="1:62" x14ac:dyDescent="0.2">
      <c r="A206" s="18" t="s">
        <v>200</v>
      </c>
      <c r="B206" s="18" t="s">
        <v>7</v>
      </c>
      <c r="C206" s="18" t="s">
        <v>412</v>
      </c>
      <c r="D206" s="111" t="s">
        <v>692</v>
      </c>
      <c r="E206" s="112"/>
      <c r="F206" s="112"/>
      <c r="G206" s="112"/>
      <c r="H206" s="112"/>
      <c r="I206" s="18" t="s">
        <v>790</v>
      </c>
      <c r="J206" s="26">
        <v>1821.9103</v>
      </c>
      <c r="K206" s="69">
        <v>0</v>
      </c>
      <c r="L206" s="26">
        <f>J206*K206</f>
        <v>0</v>
      </c>
      <c r="M206" s="32" t="s">
        <v>874</v>
      </c>
      <c r="Z206" s="12">
        <f>IF(AQ206="5",BJ206,0)</f>
        <v>0</v>
      </c>
      <c r="AB206" s="12">
        <f>IF(AQ206="1",BH206,0)</f>
        <v>0</v>
      </c>
      <c r="AC206" s="12">
        <f>IF(AQ206="1",BI206,0)</f>
        <v>0</v>
      </c>
      <c r="AD206" s="12">
        <f>IF(AQ206="7",BH206,0)</f>
        <v>0</v>
      </c>
      <c r="AE206" s="12">
        <f>IF(AQ206="7",BI206,0)</f>
        <v>0</v>
      </c>
      <c r="AF206" s="12">
        <f>IF(AQ206="2",BH206,0)</f>
        <v>0</v>
      </c>
      <c r="AG206" s="12">
        <f>IF(AQ206="2",BI206,0)</f>
        <v>0</v>
      </c>
      <c r="AH206" s="12">
        <f>IF(AQ206="0",BJ206,0)</f>
        <v>0</v>
      </c>
      <c r="AI206" s="27" t="s">
        <v>7</v>
      </c>
      <c r="AJ206" s="26">
        <f>IF(AN206=0,L206,0)</f>
        <v>0</v>
      </c>
      <c r="AK206" s="26">
        <f>IF(AN206=15,L206,0)</f>
        <v>0</v>
      </c>
      <c r="AL206" s="26">
        <f>IF(AN206=21,L206,0)</f>
        <v>0</v>
      </c>
      <c r="AN206" s="12">
        <v>21</v>
      </c>
      <c r="AO206" s="12">
        <f>K206*0</f>
        <v>0</v>
      </c>
      <c r="AP206" s="12">
        <f>K206*(1-0)</f>
        <v>0</v>
      </c>
      <c r="AQ206" s="32" t="s">
        <v>89</v>
      </c>
      <c r="AV206" s="12">
        <f>AW206+AX206</f>
        <v>0</v>
      </c>
      <c r="AW206" s="12">
        <f>J206*AO206</f>
        <v>0</v>
      </c>
      <c r="AX206" s="12">
        <f>J206*AP206</f>
        <v>0</v>
      </c>
      <c r="AY206" s="78" t="s">
        <v>902</v>
      </c>
      <c r="AZ206" s="78" t="s">
        <v>921</v>
      </c>
      <c r="BA206" s="27" t="s">
        <v>928</v>
      </c>
      <c r="BC206" s="12">
        <f>AW206+AX206</f>
        <v>0</v>
      </c>
      <c r="BD206" s="12">
        <f>K206/(100-BE206)*100</f>
        <v>0</v>
      </c>
      <c r="BE206" s="12">
        <v>0</v>
      </c>
      <c r="BF206" s="12">
        <f>206</f>
        <v>206</v>
      </c>
      <c r="BH206" s="26">
        <f>J206*AO206</f>
        <v>0</v>
      </c>
      <c r="BI206" s="26">
        <f>J206*AP206</f>
        <v>0</v>
      </c>
      <c r="BJ206" s="26">
        <f>J206*K206</f>
        <v>0</v>
      </c>
    </row>
    <row r="207" spans="1:62" x14ac:dyDescent="0.2">
      <c r="A207" s="54"/>
      <c r="B207" s="19" t="s">
        <v>7</v>
      </c>
      <c r="C207" s="19" t="s">
        <v>29</v>
      </c>
      <c r="D207" s="117" t="s">
        <v>58</v>
      </c>
      <c r="E207" s="118"/>
      <c r="F207" s="118"/>
      <c r="G207" s="118"/>
      <c r="H207" s="118"/>
      <c r="I207" s="54" t="s">
        <v>5</v>
      </c>
      <c r="J207" s="54" t="s">
        <v>5</v>
      </c>
      <c r="K207" s="68" t="s">
        <v>5</v>
      </c>
      <c r="L207" s="80">
        <f>SUM(L208:L218)</f>
        <v>0</v>
      </c>
      <c r="M207" s="27"/>
      <c r="AI207" s="27" t="s">
        <v>7</v>
      </c>
      <c r="AS207" s="80">
        <f>SUM(AJ208:AJ218)</f>
        <v>0</v>
      </c>
      <c r="AT207" s="80">
        <f>SUM(AK208:AK218)</f>
        <v>0</v>
      </c>
      <c r="AU207" s="80">
        <f>SUM(AL208:AL218)</f>
        <v>0</v>
      </c>
    </row>
    <row r="208" spans="1:62" x14ac:dyDescent="0.2">
      <c r="A208" s="18" t="s">
        <v>201</v>
      </c>
      <c r="B208" s="18" t="s">
        <v>7</v>
      </c>
      <c r="C208" s="18" t="s">
        <v>413</v>
      </c>
      <c r="D208" s="111" t="s">
        <v>693</v>
      </c>
      <c r="E208" s="112"/>
      <c r="F208" s="112"/>
      <c r="G208" s="112"/>
      <c r="H208" s="112"/>
      <c r="I208" s="18" t="s">
        <v>782</v>
      </c>
      <c r="J208" s="26">
        <v>14</v>
      </c>
      <c r="K208" s="69">
        <v>0</v>
      </c>
      <c r="L208" s="26">
        <f t="shared" ref="L208:L213" si="64">J208*K208</f>
        <v>0</v>
      </c>
      <c r="M208" s="32" t="s">
        <v>874</v>
      </c>
      <c r="Z208" s="12">
        <f t="shared" ref="Z208:Z213" si="65">IF(AQ208="5",BJ208,0)</f>
        <v>0</v>
      </c>
      <c r="AB208" s="12">
        <f t="shared" ref="AB208:AB213" si="66">IF(AQ208="1",BH208,0)</f>
        <v>0</v>
      </c>
      <c r="AC208" s="12">
        <f t="shared" ref="AC208:AC213" si="67">IF(AQ208="1",BI208,0)</f>
        <v>0</v>
      </c>
      <c r="AD208" s="12">
        <f t="shared" ref="AD208:AD213" si="68">IF(AQ208="7",BH208,0)</f>
        <v>0</v>
      </c>
      <c r="AE208" s="12">
        <f t="shared" ref="AE208:AE213" si="69">IF(AQ208="7",BI208,0)</f>
        <v>0</v>
      </c>
      <c r="AF208" s="12">
        <f t="shared" ref="AF208:AF213" si="70">IF(AQ208="2",BH208,0)</f>
        <v>0</v>
      </c>
      <c r="AG208" s="12">
        <f t="shared" ref="AG208:AG213" si="71">IF(AQ208="2",BI208,0)</f>
        <v>0</v>
      </c>
      <c r="AH208" s="12">
        <f t="shared" ref="AH208:AH213" si="72">IF(AQ208="0",BJ208,0)</f>
        <v>0</v>
      </c>
      <c r="AI208" s="27" t="s">
        <v>7</v>
      </c>
      <c r="AJ208" s="26">
        <f t="shared" ref="AJ208:AJ213" si="73">IF(AN208=0,L208,0)</f>
        <v>0</v>
      </c>
      <c r="AK208" s="26">
        <f t="shared" ref="AK208:AK213" si="74">IF(AN208=15,L208,0)</f>
        <v>0</v>
      </c>
      <c r="AL208" s="26">
        <f t="shared" ref="AL208:AL213" si="75">IF(AN208=21,L208,0)</f>
        <v>0</v>
      </c>
      <c r="AN208" s="12">
        <v>21</v>
      </c>
      <c r="AO208" s="12">
        <f>K208*0.651657303370787</f>
        <v>0</v>
      </c>
      <c r="AP208" s="12">
        <f>K208*(1-0.651657303370787)</f>
        <v>0</v>
      </c>
      <c r="AQ208" s="32" t="s">
        <v>91</v>
      </c>
      <c r="AV208" s="12">
        <f t="shared" ref="AV208:AV213" si="76">AW208+AX208</f>
        <v>0</v>
      </c>
      <c r="AW208" s="12">
        <f t="shared" ref="AW208:AW213" si="77">J208*AO208</f>
        <v>0</v>
      </c>
      <c r="AX208" s="12">
        <f t="shared" ref="AX208:AX213" si="78">J208*AP208</f>
        <v>0</v>
      </c>
      <c r="AY208" s="78" t="s">
        <v>903</v>
      </c>
      <c r="AZ208" s="78" t="s">
        <v>921</v>
      </c>
      <c r="BA208" s="27" t="s">
        <v>928</v>
      </c>
      <c r="BC208" s="12">
        <f t="shared" ref="BC208:BC213" si="79">AW208+AX208</f>
        <v>0</v>
      </c>
      <c r="BD208" s="12">
        <f t="shared" ref="BD208:BD213" si="80">K208/(100-BE208)*100</f>
        <v>0</v>
      </c>
      <c r="BE208" s="12">
        <v>0</v>
      </c>
      <c r="BF208" s="12">
        <f>208</f>
        <v>208</v>
      </c>
      <c r="BH208" s="26">
        <f t="shared" ref="BH208:BH213" si="81">J208*AO208</f>
        <v>0</v>
      </c>
      <c r="BI208" s="26">
        <f t="shared" ref="BI208:BI213" si="82">J208*AP208</f>
        <v>0</v>
      </c>
      <c r="BJ208" s="26">
        <f t="shared" ref="BJ208:BJ213" si="83">J208*K208</f>
        <v>0</v>
      </c>
    </row>
    <row r="209" spans="1:62" x14ac:dyDescent="0.2">
      <c r="A209" s="18" t="s">
        <v>202</v>
      </c>
      <c r="B209" s="18" t="s">
        <v>7</v>
      </c>
      <c r="C209" s="18" t="s">
        <v>414</v>
      </c>
      <c r="D209" s="111" t="s">
        <v>694</v>
      </c>
      <c r="E209" s="112"/>
      <c r="F209" s="112"/>
      <c r="G209" s="112"/>
      <c r="H209" s="112"/>
      <c r="I209" s="18" t="s">
        <v>782</v>
      </c>
      <c r="J209" s="26">
        <v>5.65</v>
      </c>
      <c r="K209" s="69">
        <v>0</v>
      </c>
      <c r="L209" s="26">
        <f t="shared" si="64"/>
        <v>0</v>
      </c>
      <c r="M209" s="32" t="s">
        <v>874</v>
      </c>
      <c r="Z209" s="12">
        <f t="shared" si="65"/>
        <v>0</v>
      </c>
      <c r="AB209" s="12">
        <f t="shared" si="66"/>
        <v>0</v>
      </c>
      <c r="AC209" s="12">
        <f t="shared" si="67"/>
        <v>0</v>
      </c>
      <c r="AD209" s="12">
        <f t="shared" si="68"/>
        <v>0</v>
      </c>
      <c r="AE209" s="12">
        <f t="shared" si="69"/>
        <v>0</v>
      </c>
      <c r="AF209" s="12">
        <f t="shared" si="70"/>
        <v>0</v>
      </c>
      <c r="AG209" s="12">
        <f t="shared" si="71"/>
        <v>0</v>
      </c>
      <c r="AH209" s="12">
        <f t="shared" si="72"/>
        <v>0</v>
      </c>
      <c r="AI209" s="27" t="s">
        <v>7</v>
      </c>
      <c r="AJ209" s="26">
        <f t="shared" si="73"/>
        <v>0</v>
      </c>
      <c r="AK209" s="26">
        <f t="shared" si="74"/>
        <v>0</v>
      </c>
      <c r="AL209" s="26">
        <f t="shared" si="75"/>
        <v>0</v>
      </c>
      <c r="AN209" s="12">
        <v>21</v>
      </c>
      <c r="AO209" s="12">
        <f>K209*0.644465517241379</f>
        <v>0</v>
      </c>
      <c r="AP209" s="12">
        <f>K209*(1-0.644465517241379)</f>
        <v>0</v>
      </c>
      <c r="AQ209" s="32" t="s">
        <v>91</v>
      </c>
      <c r="AV209" s="12">
        <f t="shared" si="76"/>
        <v>0</v>
      </c>
      <c r="AW209" s="12">
        <f t="shared" si="77"/>
        <v>0</v>
      </c>
      <c r="AX209" s="12">
        <f t="shared" si="78"/>
        <v>0</v>
      </c>
      <c r="AY209" s="78" t="s">
        <v>903</v>
      </c>
      <c r="AZ209" s="78" t="s">
        <v>921</v>
      </c>
      <c r="BA209" s="27" t="s">
        <v>928</v>
      </c>
      <c r="BC209" s="12">
        <f t="shared" si="79"/>
        <v>0</v>
      </c>
      <c r="BD209" s="12">
        <f t="shared" si="80"/>
        <v>0</v>
      </c>
      <c r="BE209" s="12">
        <v>0</v>
      </c>
      <c r="BF209" s="12">
        <f>209</f>
        <v>209</v>
      </c>
      <c r="BH209" s="26">
        <f t="shared" si="81"/>
        <v>0</v>
      </c>
      <c r="BI209" s="26">
        <f t="shared" si="82"/>
        <v>0</v>
      </c>
      <c r="BJ209" s="26">
        <f t="shared" si="83"/>
        <v>0</v>
      </c>
    </row>
    <row r="210" spans="1:62" x14ac:dyDescent="0.2">
      <c r="A210" s="18" t="s">
        <v>203</v>
      </c>
      <c r="B210" s="18" t="s">
        <v>7</v>
      </c>
      <c r="C210" s="18" t="s">
        <v>415</v>
      </c>
      <c r="D210" s="111" t="s">
        <v>695</v>
      </c>
      <c r="E210" s="112"/>
      <c r="F210" s="112"/>
      <c r="G210" s="112"/>
      <c r="H210" s="112"/>
      <c r="I210" s="18" t="s">
        <v>782</v>
      </c>
      <c r="J210" s="26">
        <v>15.8</v>
      </c>
      <c r="K210" s="69">
        <v>0</v>
      </c>
      <c r="L210" s="26">
        <f t="shared" si="64"/>
        <v>0</v>
      </c>
      <c r="M210" s="32" t="s">
        <v>876</v>
      </c>
      <c r="Z210" s="12">
        <f t="shared" si="65"/>
        <v>0</v>
      </c>
      <c r="AB210" s="12">
        <f t="shared" si="66"/>
        <v>0</v>
      </c>
      <c r="AC210" s="12">
        <f t="shared" si="67"/>
        <v>0</v>
      </c>
      <c r="AD210" s="12">
        <f t="shared" si="68"/>
        <v>0</v>
      </c>
      <c r="AE210" s="12">
        <f t="shared" si="69"/>
        <v>0</v>
      </c>
      <c r="AF210" s="12">
        <f t="shared" si="70"/>
        <v>0</v>
      </c>
      <c r="AG210" s="12">
        <f t="shared" si="71"/>
        <v>0</v>
      </c>
      <c r="AH210" s="12">
        <f t="shared" si="72"/>
        <v>0</v>
      </c>
      <c r="AI210" s="27" t="s">
        <v>7</v>
      </c>
      <c r="AJ210" s="26">
        <f t="shared" si="73"/>
        <v>0</v>
      </c>
      <c r="AK210" s="26">
        <f t="shared" si="74"/>
        <v>0</v>
      </c>
      <c r="AL210" s="26">
        <f t="shared" si="75"/>
        <v>0</v>
      </c>
      <c r="AN210" s="12">
        <v>21</v>
      </c>
      <c r="AO210" s="12">
        <f>K210*0</f>
        <v>0</v>
      </c>
      <c r="AP210" s="12">
        <f>K210*(1-0)</f>
        <v>0</v>
      </c>
      <c r="AQ210" s="32" t="s">
        <v>91</v>
      </c>
      <c r="AV210" s="12">
        <f t="shared" si="76"/>
        <v>0</v>
      </c>
      <c r="AW210" s="12">
        <f t="shared" si="77"/>
        <v>0</v>
      </c>
      <c r="AX210" s="12">
        <f t="shared" si="78"/>
        <v>0</v>
      </c>
      <c r="AY210" s="78" t="s">
        <v>903</v>
      </c>
      <c r="AZ210" s="78" t="s">
        <v>921</v>
      </c>
      <c r="BA210" s="27" t="s">
        <v>928</v>
      </c>
      <c r="BC210" s="12">
        <f t="shared" si="79"/>
        <v>0</v>
      </c>
      <c r="BD210" s="12">
        <f t="shared" si="80"/>
        <v>0</v>
      </c>
      <c r="BE210" s="12">
        <v>0</v>
      </c>
      <c r="BF210" s="12">
        <f>210</f>
        <v>210</v>
      </c>
      <c r="BH210" s="26">
        <f t="shared" si="81"/>
        <v>0</v>
      </c>
      <c r="BI210" s="26">
        <f t="shared" si="82"/>
        <v>0</v>
      </c>
      <c r="BJ210" s="26">
        <f t="shared" si="83"/>
        <v>0</v>
      </c>
    </row>
    <row r="211" spans="1:62" x14ac:dyDescent="0.2">
      <c r="A211" s="18" t="s">
        <v>204</v>
      </c>
      <c r="B211" s="18" t="s">
        <v>7</v>
      </c>
      <c r="C211" s="18" t="s">
        <v>415</v>
      </c>
      <c r="D211" s="111" t="s">
        <v>696</v>
      </c>
      <c r="E211" s="112"/>
      <c r="F211" s="112"/>
      <c r="G211" s="112"/>
      <c r="H211" s="112"/>
      <c r="I211" s="18" t="s">
        <v>782</v>
      </c>
      <c r="J211" s="26">
        <v>16.22</v>
      </c>
      <c r="K211" s="69">
        <v>0</v>
      </c>
      <c r="L211" s="26">
        <f t="shared" si="64"/>
        <v>0</v>
      </c>
      <c r="M211" s="32" t="s">
        <v>876</v>
      </c>
      <c r="Z211" s="12">
        <f t="shared" si="65"/>
        <v>0</v>
      </c>
      <c r="AB211" s="12">
        <f t="shared" si="66"/>
        <v>0</v>
      </c>
      <c r="AC211" s="12">
        <f t="shared" si="67"/>
        <v>0</v>
      </c>
      <c r="AD211" s="12">
        <f t="shared" si="68"/>
        <v>0</v>
      </c>
      <c r="AE211" s="12">
        <f t="shared" si="69"/>
        <v>0</v>
      </c>
      <c r="AF211" s="12">
        <f t="shared" si="70"/>
        <v>0</v>
      </c>
      <c r="AG211" s="12">
        <f t="shared" si="71"/>
        <v>0</v>
      </c>
      <c r="AH211" s="12">
        <f t="shared" si="72"/>
        <v>0</v>
      </c>
      <c r="AI211" s="27" t="s">
        <v>7</v>
      </c>
      <c r="AJ211" s="26">
        <f t="shared" si="73"/>
        <v>0</v>
      </c>
      <c r="AK211" s="26">
        <f t="shared" si="74"/>
        <v>0</v>
      </c>
      <c r="AL211" s="26">
        <f t="shared" si="75"/>
        <v>0</v>
      </c>
      <c r="AN211" s="12">
        <v>21</v>
      </c>
      <c r="AO211" s="12">
        <f>K211*0</f>
        <v>0</v>
      </c>
      <c r="AP211" s="12">
        <f>K211*(1-0)</f>
        <v>0</v>
      </c>
      <c r="AQ211" s="32" t="s">
        <v>91</v>
      </c>
      <c r="AV211" s="12">
        <f t="shared" si="76"/>
        <v>0</v>
      </c>
      <c r="AW211" s="12">
        <f t="shared" si="77"/>
        <v>0</v>
      </c>
      <c r="AX211" s="12">
        <f t="shared" si="78"/>
        <v>0</v>
      </c>
      <c r="AY211" s="78" t="s">
        <v>903</v>
      </c>
      <c r="AZ211" s="78" t="s">
        <v>921</v>
      </c>
      <c r="BA211" s="27" t="s">
        <v>928</v>
      </c>
      <c r="BC211" s="12">
        <f t="shared" si="79"/>
        <v>0</v>
      </c>
      <c r="BD211" s="12">
        <f t="shared" si="80"/>
        <v>0</v>
      </c>
      <c r="BE211" s="12">
        <v>0</v>
      </c>
      <c r="BF211" s="12">
        <f>211</f>
        <v>211</v>
      </c>
      <c r="BH211" s="26">
        <f t="shared" si="81"/>
        <v>0</v>
      </c>
      <c r="BI211" s="26">
        <f t="shared" si="82"/>
        <v>0</v>
      </c>
      <c r="BJ211" s="26">
        <f t="shared" si="83"/>
        <v>0</v>
      </c>
    </row>
    <row r="212" spans="1:62" x14ac:dyDescent="0.2">
      <c r="A212" s="18" t="s">
        <v>205</v>
      </c>
      <c r="B212" s="18" t="s">
        <v>7</v>
      </c>
      <c r="C212" s="18" t="s">
        <v>416</v>
      </c>
      <c r="D212" s="111" t="s">
        <v>697</v>
      </c>
      <c r="E212" s="112"/>
      <c r="F212" s="112"/>
      <c r="G212" s="112"/>
      <c r="H212" s="112"/>
      <c r="I212" s="18" t="s">
        <v>782</v>
      </c>
      <c r="J212" s="26">
        <v>12.59</v>
      </c>
      <c r="K212" s="69">
        <v>0</v>
      </c>
      <c r="L212" s="26">
        <f t="shared" si="64"/>
        <v>0</v>
      </c>
      <c r="M212" s="32" t="s">
        <v>874</v>
      </c>
      <c r="Z212" s="12">
        <f t="shared" si="65"/>
        <v>0</v>
      </c>
      <c r="AB212" s="12">
        <f t="shared" si="66"/>
        <v>0</v>
      </c>
      <c r="AC212" s="12">
        <f t="shared" si="67"/>
        <v>0</v>
      </c>
      <c r="AD212" s="12">
        <f t="shared" si="68"/>
        <v>0</v>
      </c>
      <c r="AE212" s="12">
        <f t="shared" si="69"/>
        <v>0</v>
      </c>
      <c r="AF212" s="12">
        <f t="shared" si="70"/>
        <v>0</v>
      </c>
      <c r="AG212" s="12">
        <f t="shared" si="71"/>
        <v>0</v>
      </c>
      <c r="AH212" s="12">
        <f t="shared" si="72"/>
        <v>0</v>
      </c>
      <c r="AI212" s="27" t="s">
        <v>7</v>
      </c>
      <c r="AJ212" s="26">
        <f t="shared" si="73"/>
        <v>0</v>
      </c>
      <c r="AK212" s="26">
        <f t="shared" si="74"/>
        <v>0</v>
      </c>
      <c r="AL212" s="26">
        <f t="shared" si="75"/>
        <v>0</v>
      </c>
      <c r="AN212" s="12">
        <v>21</v>
      </c>
      <c r="AO212" s="12">
        <f>K212*0.464720616570328</f>
        <v>0</v>
      </c>
      <c r="AP212" s="12">
        <f>K212*(1-0.464720616570328)</f>
        <v>0</v>
      </c>
      <c r="AQ212" s="32" t="s">
        <v>91</v>
      </c>
      <c r="AV212" s="12">
        <f t="shared" si="76"/>
        <v>0</v>
      </c>
      <c r="AW212" s="12">
        <f t="shared" si="77"/>
        <v>0</v>
      </c>
      <c r="AX212" s="12">
        <f t="shared" si="78"/>
        <v>0</v>
      </c>
      <c r="AY212" s="78" t="s">
        <v>903</v>
      </c>
      <c r="AZ212" s="78" t="s">
        <v>921</v>
      </c>
      <c r="BA212" s="27" t="s">
        <v>928</v>
      </c>
      <c r="BC212" s="12">
        <f t="shared" si="79"/>
        <v>0</v>
      </c>
      <c r="BD212" s="12">
        <f t="shared" si="80"/>
        <v>0</v>
      </c>
      <c r="BE212" s="12">
        <v>0</v>
      </c>
      <c r="BF212" s="12">
        <f>212</f>
        <v>212</v>
      </c>
      <c r="BH212" s="26">
        <f t="shared" si="81"/>
        <v>0</v>
      </c>
      <c r="BI212" s="26">
        <f t="shared" si="82"/>
        <v>0</v>
      </c>
      <c r="BJ212" s="26">
        <f t="shared" si="83"/>
        <v>0</v>
      </c>
    </row>
    <row r="213" spans="1:62" x14ac:dyDescent="0.2">
      <c r="A213" s="18" t="s">
        <v>206</v>
      </c>
      <c r="B213" s="18" t="s">
        <v>7</v>
      </c>
      <c r="C213" s="18" t="s">
        <v>417</v>
      </c>
      <c r="D213" s="111" t="s">
        <v>698</v>
      </c>
      <c r="E213" s="112"/>
      <c r="F213" s="112"/>
      <c r="G213" s="112"/>
      <c r="H213" s="112"/>
      <c r="I213" s="18" t="s">
        <v>784</v>
      </c>
      <c r="J213" s="26">
        <v>2</v>
      </c>
      <c r="K213" s="69">
        <v>0</v>
      </c>
      <c r="L213" s="26">
        <f t="shared" si="64"/>
        <v>0</v>
      </c>
      <c r="M213" s="32" t="s">
        <v>874</v>
      </c>
      <c r="Z213" s="12">
        <f t="shared" si="65"/>
        <v>0</v>
      </c>
      <c r="AB213" s="12">
        <f t="shared" si="66"/>
        <v>0</v>
      </c>
      <c r="AC213" s="12">
        <f t="shared" si="67"/>
        <v>0</v>
      </c>
      <c r="AD213" s="12">
        <f t="shared" si="68"/>
        <v>0</v>
      </c>
      <c r="AE213" s="12">
        <f t="shared" si="69"/>
        <v>0</v>
      </c>
      <c r="AF213" s="12">
        <f t="shared" si="70"/>
        <v>0</v>
      </c>
      <c r="AG213" s="12">
        <f t="shared" si="71"/>
        <v>0</v>
      </c>
      <c r="AH213" s="12">
        <f t="shared" si="72"/>
        <v>0</v>
      </c>
      <c r="AI213" s="27" t="s">
        <v>7</v>
      </c>
      <c r="AJ213" s="26">
        <f t="shared" si="73"/>
        <v>0</v>
      </c>
      <c r="AK213" s="26">
        <f t="shared" si="74"/>
        <v>0</v>
      </c>
      <c r="AL213" s="26">
        <f t="shared" si="75"/>
        <v>0</v>
      </c>
      <c r="AN213" s="12">
        <v>21</v>
      </c>
      <c r="AO213" s="12">
        <f>K213*0.366407239819005</f>
        <v>0</v>
      </c>
      <c r="AP213" s="12">
        <f>K213*(1-0.366407239819005)</f>
        <v>0</v>
      </c>
      <c r="AQ213" s="32" t="s">
        <v>91</v>
      </c>
      <c r="AV213" s="12">
        <f t="shared" si="76"/>
        <v>0</v>
      </c>
      <c r="AW213" s="12">
        <f t="shared" si="77"/>
        <v>0</v>
      </c>
      <c r="AX213" s="12">
        <f t="shared" si="78"/>
        <v>0</v>
      </c>
      <c r="AY213" s="78" t="s">
        <v>903</v>
      </c>
      <c r="AZ213" s="78" t="s">
        <v>921</v>
      </c>
      <c r="BA213" s="27" t="s">
        <v>928</v>
      </c>
      <c r="BC213" s="12">
        <f t="shared" si="79"/>
        <v>0</v>
      </c>
      <c r="BD213" s="12">
        <f t="shared" si="80"/>
        <v>0</v>
      </c>
      <c r="BE213" s="12">
        <v>0</v>
      </c>
      <c r="BF213" s="12">
        <f>213</f>
        <v>213</v>
      </c>
      <c r="BH213" s="26">
        <f t="shared" si="81"/>
        <v>0</v>
      </c>
      <c r="BI213" s="26">
        <f t="shared" si="82"/>
        <v>0</v>
      </c>
      <c r="BJ213" s="26">
        <f t="shared" si="83"/>
        <v>0</v>
      </c>
    </row>
    <row r="214" spans="1:62" x14ac:dyDescent="0.2">
      <c r="C214" s="62" t="s">
        <v>296</v>
      </c>
      <c r="D214" s="113" t="s">
        <v>699</v>
      </c>
      <c r="E214" s="114"/>
      <c r="F214" s="114"/>
      <c r="G214" s="114"/>
      <c r="H214" s="114"/>
      <c r="I214" s="114"/>
      <c r="J214" s="114"/>
      <c r="K214" s="154"/>
      <c r="L214" s="114"/>
      <c r="M214" s="114"/>
    </row>
    <row r="215" spans="1:62" x14ac:dyDescent="0.2">
      <c r="A215" s="18" t="s">
        <v>207</v>
      </c>
      <c r="B215" s="18" t="s">
        <v>7</v>
      </c>
      <c r="C215" s="18" t="s">
        <v>418</v>
      </c>
      <c r="D215" s="111" t="s">
        <v>700</v>
      </c>
      <c r="E215" s="112"/>
      <c r="F215" s="112"/>
      <c r="G215" s="112"/>
      <c r="H215" s="112"/>
      <c r="I215" s="18" t="s">
        <v>784</v>
      </c>
      <c r="J215" s="26">
        <v>4</v>
      </c>
      <c r="K215" s="69">
        <v>0</v>
      </c>
      <c r="L215" s="26">
        <f>J215*K215</f>
        <v>0</v>
      </c>
      <c r="M215" s="32" t="s">
        <v>874</v>
      </c>
      <c r="Z215" s="12">
        <f>IF(AQ215="5",BJ215,0)</f>
        <v>0</v>
      </c>
      <c r="AB215" s="12">
        <f>IF(AQ215="1",BH215,0)</f>
        <v>0</v>
      </c>
      <c r="AC215" s="12">
        <f>IF(AQ215="1",BI215,0)</f>
        <v>0</v>
      </c>
      <c r="AD215" s="12">
        <f>IF(AQ215="7",BH215,0)</f>
        <v>0</v>
      </c>
      <c r="AE215" s="12">
        <f>IF(AQ215="7",BI215,0)</f>
        <v>0</v>
      </c>
      <c r="AF215" s="12">
        <f>IF(AQ215="2",BH215,0)</f>
        <v>0</v>
      </c>
      <c r="AG215" s="12">
        <f>IF(AQ215="2",BI215,0)</f>
        <v>0</v>
      </c>
      <c r="AH215" s="12">
        <f>IF(AQ215="0",BJ215,0)</f>
        <v>0</v>
      </c>
      <c r="AI215" s="27" t="s">
        <v>7</v>
      </c>
      <c r="AJ215" s="26">
        <f>IF(AN215=0,L215,0)</f>
        <v>0</v>
      </c>
      <c r="AK215" s="26">
        <f>IF(AN215=15,L215,0)</f>
        <v>0</v>
      </c>
      <c r="AL215" s="26">
        <f>IF(AN215=21,L215,0)</f>
        <v>0</v>
      </c>
      <c r="AN215" s="12">
        <v>21</v>
      </c>
      <c r="AO215" s="12">
        <f>K215*0.338537466533338</f>
        <v>0</v>
      </c>
      <c r="AP215" s="12">
        <f>K215*(1-0.338537466533338)</f>
        <v>0</v>
      </c>
      <c r="AQ215" s="32" t="s">
        <v>91</v>
      </c>
      <c r="AV215" s="12">
        <f>AW215+AX215</f>
        <v>0</v>
      </c>
      <c r="AW215" s="12">
        <f>J215*AO215</f>
        <v>0</v>
      </c>
      <c r="AX215" s="12">
        <f>J215*AP215</f>
        <v>0</v>
      </c>
      <c r="AY215" s="78" t="s">
        <v>903</v>
      </c>
      <c r="AZ215" s="78" t="s">
        <v>921</v>
      </c>
      <c r="BA215" s="27" t="s">
        <v>928</v>
      </c>
      <c r="BC215" s="12">
        <f>AW215+AX215</f>
        <v>0</v>
      </c>
      <c r="BD215" s="12">
        <f>K215/(100-BE215)*100</f>
        <v>0</v>
      </c>
      <c r="BE215" s="12">
        <v>0</v>
      </c>
      <c r="BF215" s="12">
        <f>215</f>
        <v>215</v>
      </c>
      <c r="BH215" s="26">
        <f>J215*AO215</f>
        <v>0</v>
      </c>
      <c r="BI215" s="26">
        <f>J215*AP215</f>
        <v>0</v>
      </c>
      <c r="BJ215" s="26">
        <f>J215*K215</f>
        <v>0</v>
      </c>
    </row>
    <row r="216" spans="1:62" x14ac:dyDescent="0.2">
      <c r="A216" s="18" t="s">
        <v>208</v>
      </c>
      <c r="B216" s="18" t="s">
        <v>7</v>
      </c>
      <c r="C216" s="18" t="s">
        <v>419</v>
      </c>
      <c r="D216" s="111" t="s">
        <v>701</v>
      </c>
      <c r="E216" s="112"/>
      <c r="F216" s="112"/>
      <c r="G216" s="112"/>
      <c r="H216" s="112"/>
      <c r="I216" s="18" t="s">
        <v>782</v>
      </c>
      <c r="J216" s="26">
        <v>26.62</v>
      </c>
      <c r="K216" s="69">
        <v>0</v>
      </c>
      <c r="L216" s="26">
        <f>J216*K216</f>
        <v>0</v>
      </c>
      <c r="M216" s="32" t="s">
        <v>874</v>
      </c>
      <c r="Z216" s="12">
        <f>IF(AQ216="5",BJ216,0)</f>
        <v>0</v>
      </c>
      <c r="AB216" s="12">
        <f>IF(AQ216="1",BH216,0)</f>
        <v>0</v>
      </c>
      <c r="AC216" s="12">
        <f>IF(AQ216="1",BI216,0)</f>
        <v>0</v>
      </c>
      <c r="AD216" s="12">
        <f>IF(AQ216="7",BH216,0)</f>
        <v>0</v>
      </c>
      <c r="AE216" s="12">
        <f>IF(AQ216="7",BI216,0)</f>
        <v>0</v>
      </c>
      <c r="AF216" s="12">
        <f>IF(AQ216="2",BH216,0)</f>
        <v>0</v>
      </c>
      <c r="AG216" s="12">
        <f>IF(AQ216="2",BI216,0)</f>
        <v>0</v>
      </c>
      <c r="AH216" s="12">
        <f>IF(AQ216="0",BJ216,0)</f>
        <v>0</v>
      </c>
      <c r="AI216" s="27" t="s">
        <v>7</v>
      </c>
      <c r="AJ216" s="26">
        <f>IF(AN216=0,L216,0)</f>
        <v>0</v>
      </c>
      <c r="AK216" s="26">
        <f>IF(AN216=15,L216,0)</f>
        <v>0</v>
      </c>
      <c r="AL216" s="26">
        <f>IF(AN216=21,L216,0)</f>
        <v>0</v>
      </c>
      <c r="AN216" s="12">
        <v>21</v>
      </c>
      <c r="AO216" s="12">
        <f>K216*0.421327586206897</f>
        <v>0</v>
      </c>
      <c r="AP216" s="12">
        <f>K216*(1-0.421327586206897)</f>
        <v>0</v>
      </c>
      <c r="AQ216" s="32" t="s">
        <v>91</v>
      </c>
      <c r="AV216" s="12">
        <f>AW216+AX216</f>
        <v>0</v>
      </c>
      <c r="AW216" s="12">
        <f>J216*AO216</f>
        <v>0</v>
      </c>
      <c r="AX216" s="12">
        <f>J216*AP216</f>
        <v>0</v>
      </c>
      <c r="AY216" s="78" t="s">
        <v>903</v>
      </c>
      <c r="AZ216" s="78" t="s">
        <v>921</v>
      </c>
      <c r="BA216" s="27" t="s">
        <v>928</v>
      </c>
      <c r="BC216" s="12">
        <f>AW216+AX216</f>
        <v>0</v>
      </c>
      <c r="BD216" s="12">
        <f>K216/(100-BE216)*100</f>
        <v>0</v>
      </c>
      <c r="BE216" s="12">
        <v>0</v>
      </c>
      <c r="BF216" s="12">
        <f>216</f>
        <v>216</v>
      </c>
      <c r="BH216" s="26">
        <f>J216*AO216</f>
        <v>0</v>
      </c>
      <c r="BI216" s="26">
        <f>J216*AP216</f>
        <v>0</v>
      </c>
      <c r="BJ216" s="26">
        <f>J216*K216</f>
        <v>0</v>
      </c>
    </row>
    <row r="217" spans="1:62" x14ac:dyDescent="0.2">
      <c r="C217" s="62" t="s">
        <v>296</v>
      </c>
      <c r="D217" s="113" t="s">
        <v>703</v>
      </c>
      <c r="E217" s="114"/>
      <c r="F217" s="114"/>
      <c r="G217" s="114"/>
      <c r="H217" s="114"/>
      <c r="I217" s="114"/>
      <c r="J217" s="114"/>
      <c r="K217" s="154"/>
      <c r="L217" s="114"/>
      <c r="M217" s="114"/>
    </row>
    <row r="218" spans="1:62" x14ac:dyDescent="0.2">
      <c r="A218" s="18" t="s">
        <v>209</v>
      </c>
      <c r="B218" s="18" t="s">
        <v>7</v>
      </c>
      <c r="C218" s="18" t="s">
        <v>420</v>
      </c>
      <c r="D218" s="111" t="s">
        <v>704</v>
      </c>
      <c r="E218" s="112"/>
      <c r="F218" s="112"/>
      <c r="G218" s="112"/>
      <c r="H218" s="112"/>
      <c r="I218" s="18" t="s">
        <v>790</v>
      </c>
      <c r="J218" s="26">
        <v>558.35090000000002</v>
      </c>
      <c r="K218" s="69">
        <v>0</v>
      </c>
      <c r="L218" s="26">
        <f>J218*K218</f>
        <v>0</v>
      </c>
      <c r="M218" s="32" t="s">
        <v>874</v>
      </c>
      <c r="Z218" s="12">
        <f>IF(AQ218="5",BJ218,0)</f>
        <v>0</v>
      </c>
      <c r="AB218" s="12">
        <f>IF(AQ218="1",BH218,0)</f>
        <v>0</v>
      </c>
      <c r="AC218" s="12">
        <f>IF(AQ218="1",BI218,0)</f>
        <v>0</v>
      </c>
      <c r="AD218" s="12">
        <f>IF(AQ218="7",BH218,0)</f>
        <v>0</v>
      </c>
      <c r="AE218" s="12">
        <f>IF(AQ218="7",BI218,0)</f>
        <v>0</v>
      </c>
      <c r="AF218" s="12">
        <f>IF(AQ218="2",BH218,0)</f>
        <v>0</v>
      </c>
      <c r="AG218" s="12">
        <f>IF(AQ218="2",BI218,0)</f>
        <v>0</v>
      </c>
      <c r="AH218" s="12">
        <f>IF(AQ218="0",BJ218,0)</f>
        <v>0</v>
      </c>
      <c r="AI218" s="27" t="s">
        <v>7</v>
      </c>
      <c r="AJ218" s="26">
        <f>IF(AN218=0,L218,0)</f>
        <v>0</v>
      </c>
      <c r="AK218" s="26">
        <f>IF(AN218=15,L218,0)</f>
        <v>0</v>
      </c>
      <c r="AL218" s="26">
        <f>IF(AN218=21,L218,0)</f>
        <v>0</v>
      </c>
      <c r="AN218" s="12">
        <v>21</v>
      </c>
      <c r="AO218" s="12">
        <f>K218*0</f>
        <v>0</v>
      </c>
      <c r="AP218" s="12">
        <f>K218*(1-0)</f>
        <v>0</v>
      </c>
      <c r="AQ218" s="32" t="s">
        <v>89</v>
      </c>
      <c r="AV218" s="12">
        <f>AW218+AX218</f>
        <v>0</v>
      </c>
      <c r="AW218" s="12">
        <f>J218*AO218</f>
        <v>0</v>
      </c>
      <c r="AX218" s="12">
        <f>J218*AP218</f>
        <v>0</v>
      </c>
      <c r="AY218" s="78" t="s">
        <v>903</v>
      </c>
      <c r="AZ218" s="78" t="s">
        <v>921</v>
      </c>
      <c r="BA218" s="27" t="s">
        <v>928</v>
      </c>
      <c r="BC218" s="12">
        <f>AW218+AX218</f>
        <v>0</v>
      </c>
      <c r="BD218" s="12">
        <f>K218/(100-BE218)*100</f>
        <v>0</v>
      </c>
      <c r="BE218" s="12">
        <v>0</v>
      </c>
      <c r="BF218" s="12">
        <f>218</f>
        <v>218</v>
      </c>
      <c r="BH218" s="26">
        <f>J218*AO218</f>
        <v>0</v>
      </c>
      <c r="BI218" s="26">
        <f>J218*AP218</f>
        <v>0</v>
      </c>
      <c r="BJ218" s="26">
        <f>J218*K218</f>
        <v>0</v>
      </c>
    </row>
    <row r="219" spans="1:62" x14ac:dyDescent="0.2">
      <c r="A219" s="54"/>
      <c r="B219" s="19" t="s">
        <v>7</v>
      </c>
      <c r="C219" s="19" t="s">
        <v>30</v>
      </c>
      <c r="D219" s="117" t="s">
        <v>59</v>
      </c>
      <c r="E219" s="118"/>
      <c r="F219" s="118"/>
      <c r="G219" s="118"/>
      <c r="H219" s="118"/>
      <c r="I219" s="54" t="s">
        <v>5</v>
      </c>
      <c r="J219" s="54" t="s">
        <v>5</v>
      </c>
      <c r="K219" s="68" t="s">
        <v>5</v>
      </c>
      <c r="L219" s="80">
        <f>SUM(L220:L228)</f>
        <v>0</v>
      </c>
      <c r="M219" s="27"/>
      <c r="AI219" s="27" t="s">
        <v>7</v>
      </c>
      <c r="AS219" s="80">
        <f>SUM(AJ220:AJ228)</f>
        <v>0</v>
      </c>
      <c r="AT219" s="80">
        <f>SUM(AK220:AK228)</f>
        <v>0</v>
      </c>
      <c r="AU219" s="80">
        <f>SUM(AL220:AL228)</f>
        <v>0</v>
      </c>
    </row>
    <row r="220" spans="1:62" x14ac:dyDescent="0.2">
      <c r="A220" s="18" t="s">
        <v>210</v>
      </c>
      <c r="B220" s="18" t="s">
        <v>7</v>
      </c>
      <c r="C220" s="18" t="s">
        <v>421</v>
      </c>
      <c r="D220" s="111" t="s">
        <v>705</v>
      </c>
      <c r="E220" s="112"/>
      <c r="F220" s="112"/>
      <c r="G220" s="112"/>
      <c r="H220" s="112"/>
      <c r="I220" s="18" t="s">
        <v>783</v>
      </c>
      <c r="J220" s="26">
        <v>43.892000000000003</v>
      </c>
      <c r="K220" s="69">
        <v>0</v>
      </c>
      <c r="L220" s="26">
        <f>J220*K220</f>
        <v>0</v>
      </c>
      <c r="M220" s="32" t="s">
        <v>874</v>
      </c>
      <c r="Z220" s="12">
        <f>IF(AQ220="5",BJ220,0)</f>
        <v>0</v>
      </c>
      <c r="AB220" s="12">
        <f>IF(AQ220="1",BH220,0)</f>
        <v>0</v>
      </c>
      <c r="AC220" s="12">
        <f>IF(AQ220="1",BI220,0)</f>
        <v>0</v>
      </c>
      <c r="AD220" s="12">
        <f>IF(AQ220="7",BH220,0)</f>
        <v>0</v>
      </c>
      <c r="AE220" s="12">
        <f>IF(AQ220="7",BI220,0)</f>
        <v>0</v>
      </c>
      <c r="AF220" s="12">
        <f>IF(AQ220="2",BH220,0)</f>
        <v>0</v>
      </c>
      <c r="AG220" s="12">
        <f>IF(AQ220="2",BI220,0)</f>
        <v>0</v>
      </c>
      <c r="AH220" s="12">
        <f>IF(AQ220="0",BJ220,0)</f>
        <v>0</v>
      </c>
      <c r="AI220" s="27" t="s">
        <v>7</v>
      </c>
      <c r="AJ220" s="26">
        <f>IF(AN220=0,L220,0)</f>
        <v>0</v>
      </c>
      <c r="AK220" s="26">
        <f>IF(AN220=15,L220,0)</f>
        <v>0</v>
      </c>
      <c r="AL220" s="26">
        <f>IF(AN220=21,L220,0)</f>
        <v>0</v>
      </c>
      <c r="AN220" s="12">
        <v>21</v>
      </c>
      <c r="AO220" s="12">
        <f>K220*0</f>
        <v>0</v>
      </c>
      <c r="AP220" s="12">
        <f>K220*(1-0)</f>
        <v>0</v>
      </c>
      <c r="AQ220" s="32" t="s">
        <v>91</v>
      </c>
      <c r="AV220" s="12">
        <f>AW220+AX220</f>
        <v>0</v>
      </c>
      <c r="AW220" s="12">
        <f>J220*AO220</f>
        <v>0</v>
      </c>
      <c r="AX220" s="12">
        <f>J220*AP220</f>
        <v>0</v>
      </c>
      <c r="AY220" s="78" t="s">
        <v>904</v>
      </c>
      <c r="AZ220" s="78" t="s">
        <v>921</v>
      </c>
      <c r="BA220" s="27" t="s">
        <v>928</v>
      </c>
      <c r="BC220" s="12">
        <f>AW220+AX220</f>
        <v>0</v>
      </c>
      <c r="BD220" s="12">
        <f>K220/(100-BE220)*100</f>
        <v>0</v>
      </c>
      <c r="BE220" s="12">
        <v>0</v>
      </c>
      <c r="BF220" s="12">
        <f>220</f>
        <v>220</v>
      </c>
      <c r="BH220" s="26">
        <f>J220*AO220</f>
        <v>0</v>
      </c>
      <c r="BI220" s="26">
        <f>J220*AP220</f>
        <v>0</v>
      </c>
      <c r="BJ220" s="26">
        <f>J220*K220</f>
        <v>0</v>
      </c>
    </row>
    <row r="221" spans="1:62" ht="25.7" customHeight="1" x14ac:dyDescent="0.2">
      <c r="C221" s="62" t="s">
        <v>296</v>
      </c>
      <c r="D221" s="113" t="s">
        <v>706</v>
      </c>
      <c r="E221" s="114"/>
      <c r="F221" s="114"/>
      <c r="G221" s="114"/>
      <c r="H221" s="114"/>
      <c r="I221" s="114"/>
      <c r="J221" s="114"/>
      <c r="K221" s="154"/>
      <c r="L221" s="114"/>
      <c r="M221" s="114"/>
    </row>
    <row r="222" spans="1:62" x14ac:dyDescent="0.2">
      <c r="A222" s="20" t="s">
        <v>211</v>
      </c>
      <c r="B222" s="20" t="s">
        <v>7</v>
      </c>
      <c r="C222" s="20" t="s">
        <v>422</v>
      </c>
      <c r="D222" s="121" t="s">
        <v>707</v>
      </c>
      <c r="E222" s="122"/>
      <c r="F222" s="122"/>
      <c r="G222" s="122"/>
      <c r="H222" s="122"/>
      <c r="I222" s="20" t="s">
        <v>785</v>
      </c>
      <c r="J222" s="29">
        <v>1.20703</v>
      </c>
      <c r="K222" s="70">
        <v>0</v>
      </c>
      <c r="L222" s="29">
        <f>J222*K222</f>
        <v>0</v>
      </c>
      <c r="M222" s="33" t="s">
        <v>874</v>
      </c>
      <c r="Z222" s="12">
        <f>IF(AQ222="5",BJ222,0)</f>
        <v>0</v>
      </c>
      <c r="AB222" s="12">
        <f>IF(AQ222="1",BH222,0)</f>
        <v>0</v>
      </c>
      <c r="AC222" s="12">
        <f>IF(AQ222="1",BI222,0)</f>
        <v>0</v>
      </c>
      <c r="AD222" s="12">
        <f>IF(AQ222="7",BH222,0)</f>
        <v>0</v>
      </c>
      <c r="AE222" s="12">
        <f>IF(AQ222="7",BI222,0)</f>
        <v>0</v>
      </c>
      <c r="AF222" s="12">
        <f>IF(AQ222="2",BH222,0)</f>
        <v>0</v>
      </c>
      <c r="AG222" s="12">
        <f>IF(AQ222="2",BI222,0)</f>
        <v>0</v>
      </c>
      <c r="AH222" s="12">
        <f>IF(AQ222="0",BJ222,0)</f>
        <v>0</v>
      </c>
      <c r="AI222" s="27" t="s">
        <v>7</v>
      </c>
      <c r="AJ222" s="29">
        <f>IF(AN222=0,L222,0)</f>
        <v>0</v>
      </c>
      <c r="AK222" s="29">
        <f>IF(AN222=15,L222,0)</f>
        <v>0</v>
      </c>
      <c r="AL222" s="29">
        <f>IF(AN222=21,L222,0)</f>
        <v>0</v>
      </c>
      <c r="AN222" s="12">
        <v>21</v>
      </c>
      <c r="AO222" s="12">
        <f>K222*1</f>
        <v>0</v>
      </c>
      <c r="AP222" s="12">
        <f>K222*(1-1)</f>
        <v>0</v>
      </c>
      <c r="AQ222" s="33" t="s">
        <v>91</v>
      </c>
      <c r="AV222" s="12">
        <f>AW222+AX222</f>
        <v>0</v>
      </c>
      <c r="AW222" s="12">
        <f>J222*AO222</f>
        <v>0</v>
      </c>
      <c r="AX222" s="12">
        <f>J222*AP222</f>
        <v>0</v>
      </c>
      <c r="AY222" s="78" t="s">
        <v>904</v>
      </c>
      <c r="AZ222" s="78" t="s">
        <v>921</v>
      </c>
      <c r="BA222" s="27" t="s">
        <v>928</v>
      </c>
      <c r="BC222" s="12">
        <f>AW222+AX222</f>
        <v>0</v>
      </c>
      <c r="BD222" s="12">
        <f>K222/(100-BE222)*100</f>
        <v>0</v>
      </c>
      <c r="BE222" s="12">
        <v>0</v>
      </c>
      <c r="BF222" s="12">
        <f>222</f>
        <v>222</v>
      </c>
      <c r="BH222" s="29">
        <f>J222*AO222</f>
        <v>0</v>
      </c>
      <c r="BI222" s="29">
        <f>J222*AP222</f>
        <v>0</v>
      </c>
      <c r="BJ222" s="29">
        <f>J222*K222</f>
        <v>0</v>
      </c>
    </row>
    <row r="223" spans="1:62" x14ac:dyDescent="0.2">
      <c r="A223" s="18" t="s">
        <v>212</v>
      </c>
      <c r="B223" s="18" t="s">
        <v>7</v>
      </c>
      <c r="C223" s="18" t="s">
        <v>423</v>
      </c>
      <c r="D223" s="111" t="s">
        <v>709</v>
      </c>
      <c r="E223" s="112"/>
      <c r="F223" s="112"/>
      <c r="G223" s="112"/>
      <c r="H223" s="112"/>
      <c r="I223" s="18" t="s">
        <v>783</v>
      </c>
      <c r="J223" s="26">
        <v>43.892000000000003</v>
      </c>
      <c r="K223" s="69">
        <v>0</v>
      </c>
      <c r="L223" s="26">
        <f>J223*K223</f>
        <v>0</v>
      </c>
      <c r="M223" s="32" t="s">
        <v>874</v>
      </c>
      <c r="Z223" s="12">
        <f>IF(AQ223="5",BJ223,0)</f>
        <v>0</v>
      </c>
      <c r="AB223" s="12">
        <f>IF(AQ223="1",BH223,0)</f>
        <v>0</v>
      </c>
      <c r="AC223" s="12">
        <f>IF(AQ223="1",BI223,0)</f>
        <v>0</v>
      </c>
      <c r="AD223" s="12">
        <f>IF(AQ223="7",BH223,0)</f>
        <v>0</v>
      </c>
      <c r="AE223" s="12">
        <f>IF(AQ223="7",BI223,0)</f>
        <v>0</v>
      </c>
      <c r="AF223" s="12">
        <f>IF(AQ223="2",BH223,0)</f>
        <v>0</v>
      </c>
      <c r="AG223" s="12">
        <f>IF(AQ223="2",BI223,0)</f>
        <v>0</v>
      </c>
      <c r="AH223" s="12">
        <f>IF(AQ223="0",BJ223,0)</f>
        <v>0</v>
      </c>
      <c r="AI223" s="27" t="s">
        <v>7</v>
      </c>
      <c r="AJ223" s="26">
        <f>IF(AN223=0,L223,0)</f>
        <v>0</v>
      </c>
      <c r="AK223" s="26">
        <f>IF(AN223=15,L223,0)</f>
        <v>0</v>
      </c>
      <c r="AL223" s="26">
        <f>IF(AN223=21,L223,0)</f>
        <v>0</v>
      </c>
      <c r="AN223" s="12">
        <v>21</v>
      </c>
      <c r="AO223" s="12">
        <f>K223*0.315999470991313</f>
        <v>0</v>
      </c>
      <c r="AP223" s="12">
        <f>K223*(1-0.315999470991313)</f>
        <v>0</v>
      </c>
      <c r="AQ223" s="32" t="s">
        <v>91</v>
      </c>
      <c r="AV223" s="12">
        <f>AW223+AX223</f>
        <v>0</v>
      </c>
      <c r="AW223" s="12">
        <f>J223*AO223</f>
        <v>0</v>
      </c>
      <c r="AX223" s="12">
        <f>J223*AP223</f>
        <v>0</v>
      </c>
      <c r="AY223" s="78" t="s">
        <v>904</v>
      </c>
      <c r="AZ223" s="78" t="s">
        <v>921</v>
      </c>
      <c r="BA223" s="27" t="s">
        <v>928</v>
      </c>
      <c r="BC223" s="12">
        <f>AW223+AX223</f>
        <v>0</v>
      </c>
      <c r="BD223" s="12">
        <f>K223/(100-BE223)*100</f>
        <v>0</v>
      </c>
      <c r="BE223" s="12">
        <v>0</v>
      </c>
      <c r="BF223" s="12">
        <f>223</f>
        <v>223</v>
      </c>
      <c r="BH223" s="26">
        <f>J223*AO223</f>
        <v>0</v>
      </c>
      <c r="BI223" s="26">
        <f>J223*AP223</f>
        <v>0</v>
      </c>
      <c r="BJ223" s="26">
        <f>J223*K223</f>
        <v>0</v>
      </c>
    </row>
    <row r="224" spans="1:62" x14ac:dyDescent="0.2">
      <c r="C224" s="62" t="s">
        <v>296</v>
      </c>
      <c r="D224" s="113" t="s">
        <v>710</v>
      </c>
      <c r="E224" s="114"/>
      <c r="F224" s="114"/>
      <c r="G224" s="114"/>
      <c r="H224" s="114"/>
      <c r="I224" s="114"/>
      <c r="J224" s="114"/>
      <c r="K224" s="154"/>
      <c r="L224" s="114"/>
      <c r="M224" s="114"/>
    </row>
    <row r="225" spans="1:62" x14ac:dyDescent="0.2">
      <c r="A225" s="18" t="s">
        <v>213</v>
      </c>
      <c r="B225" s="18" t="s">
        <v>7</v>
      </c>
      <c r="C225" s="18" t="s">
        <v>424</v>
      </c>
      <c r="D225" s="111" t="s">
        <v>711</v>
      </c>
      <c r="E225" s="112"/>
      <c r="F225" s="112"/>
      <c r="G225" s="112"/>
      <c r="H225" s="112"/>
      <c r="I225" s="18" t="s">
        <v>783</v>
      </c>
      <c r="J225" s="26">
        <v>43.892000000000003</v>
      </c>
      <c r="K225" s="69">
        <v>0</v>
      </c>
      <c r="L225" s="26">
        <f>J225*K225</f>
        <v>0</v>
      </c>
      <c r="M225" s="32" t="s">
        <v>874</v>
      </c>
      <c r="Z225" s="12">
        <f>IF(AQ225="5",BJ225,0)</f>
        <v>0</v>
      </c>
      <c r="AB225" s="12">
        <f>IF(AQ225="1",BH225,0)</f>
        <v>0</v>
      </c>
      <c r="AC225" s="12">
        <f>IF(AQ225="1",BI225,0)</f>
        <v>0</v>
      </c>
      <c r="AD225" s="12">
        <f>IF(AQ225="7",BH225,0)</f>
        <v>0</v>
      </c>
      <c r="AE225" s="12">
        <f>IF(AQ225="7",BI225,0)</f>
        <v>0</v>
      </c>
      <c r="AF225" s="12">
        <f>IF(AQ225="2",BH225,0)</f>
        <v>0</v>
      </c>
      <c r="AG225" s="12">
        <f>IF(AQ225="2",BI225,0)</f>
        <v>0</v>
      </c>
      <c r="AH225" s="12">
        <f>IF(AQ225="0",BJ225,0)</f>
        <v>0</v>
      </c>
      <c r="AI225" s="27" t="s">
        <v>7</v>
      </c>
      <c r="AJ225" s="26">
        <f>IF(AN225=0,L225,0)</f>
        <v>0</v>
      </c>
      <c r="AK225" s="26">
        <f>IF(AN225=15,L225,0)</f>
        <v>0</v>
      </c>
      <c r="AL225" s="26">
        <f>IF(AN225=21,L225,0)</f>
        <v>0</v>
      </c>
      <c r="AN225" s="12">
        <v>21</v>
      </c>
      <c r="AO225" s="12">
        <f>K225*0.583288131884261</f>
        <v>0</v>
      </c>
      <c r="AP225" s="12">
        <f>K225*(1-0.583288131884261)</f>
        <v>0</v>
      </c>
      <c r="AQ225" s="32" t="s">
        <v>91</v>
      </c>
      <c r="AV225" s="12">
        <f>AW225+AX225</f>
        <v>0</v>
      </c>
      <c r="AW225" s="12">
        <f>J225*AO225</f>
        <v>0</v>
      </c>
      <c r="AX225" s="12">
        <f>J225*AP225</f>
        <v>0</v>
      </c>
      <c r="AY225" s="78" t="s">
        <v>904</v>
      </c>
      <c r="AZ225" s="78" t="s">
        <v>921</v>
      </c>
      <c r="BA225" s="27" t="s">
        <v>928</v>
      </c>
      <c r="BC225" s="12">
        <f>AW225+AX225</f>
        <v>0</v>
      </c>
      <c r="BD225" s="12">
        <f>K225/(100-BE225)*100</f>
        <v>0</v>
      </c>
      <c r="BE225" s="12">
        <v>0</v>
      </c>
      <c r="BF225" s="12">
        <f>225</f>
        <v>225</v>
      </c>
      <c r="BH225" s="26">
        <f>J225*AO225</f>
        <v>0</v>
      </c>
      <c r="BI225" s="26">
        <f>J225*AP225</f>
        <v>0</v>
      </c>
      <c r="BJ225" s="26">
        <f>J225*K225</f>
        <v>0</v>
      </c>
    </row>
    <row r="226" spans="1:62" x14ac:dyDescent="0.2">
      <c r="D226" s="157" t="s">
        <v>860</v>
      </c>
      <c r="E226" s="158"/>
      <c r="F226" s="158"/>
      <c r="G226" s="158"/>
      <c r="H226" s="158"/>
      <c r="K226" s="71"/>
    </row>
    <row r="227" spans="1:62" x14ac:dyDescent="0.2">
      <c r="C227" s="62" t="s">
        <v>296</v>
      </c>
      <c r="D227" s="113" t="s">
        <v>712</v>
      </c>
      <c r="E227" s="114"/>
      <c r="F227" s="114"/>
      <c r="G227" s="114"/>
      <c r="H227" s="114"/>
      <c r="I227" s="114"/>
      <c r="J227" s="114"/>
      <c r="K227" s="154"/>
      <c r="L227" s="114"/>
      <c r="M227" s="114"/>
    </row>
    <row r="228" spans="1:62" x14ac:dyDescent="0.2">
      <c r="A228" s="18" t="s">
        <v>214</v>
      </c>
      <c r="B228" s="18" t="s">
        <v>7</v>
      </c>
      <c r="C228" s="18" t="s">
        <v>425</v>
      </c>
      <c r="D228" s="111" t="s">
        <v>713</v>
      </c>
      <c r="E228" s="112"/>
      <c r="F228" s="112"/>
      <c r="G228" s="112"/>
      <c r="H228" s="112"/>
      <c r="I228" s="18" t="s">
        <v>790</v>
      </c>
      <c r="J228" s="26">
        <v>578.03129999999999</v>
      </c>
      <c r="K228" s="69">
        <v>0</v>
      </c>
      <c r="L228" s="26">
        <f>J228*K228</f>
        <v>0</v>
      </c>
      <c r="M228" s="32" t="s">
        <v>874</v>
      </c>
      <c r="Z228" s="12">
        <f>IF(AQ228="5",BJ228,0)</f>
        <v>0</v>
      </c>
      <c r="AB228" s="12">
        <f>IF(AQ228="1",BH228,0)</f>
        <v>0</v>
      </c>
      <c r="AC228" s="12">
        <f>IF(AQ228="1",BI228,0)</f>
        <v>0</v>
      </c>
      <c r="AD228" s="12">
        <f>IF(AQ228="7",BH228,0)</f>
        <v>0</v>
      </c>
      <c r="AE228" s="12">
        <f>IF(AQ228="7",BI228,0)</f>
        <v>0</v>
      </c>
      <c r="AF228" s="12">
        <f>IF(AQ228="2",BH228,0)</f>
        <v>0</v>
      </c>
      <c r="AG228" s="12">
        <f>IF(AQ228="2",BI228,0)</f>
        <v>0</v>
      </c>
      <c r="AH228" s="12">
        <f>IF(AQ228="0",BJ228,0)</f>
        <v>0</v>
      </c>
      <c r="AI228" s="27" t="s">
        <v>7</v>
      </c>
      <c r="AJ228" s="26">
        <f>IF(AN228=0,L228,0)</f>
        <v>0</v>
      </c>
      <c r="AK228" s="26">
        <f>IF(AN228=15,L228,0)</f>
        <v>0</v>
      </c>
      <c r="AL228" s="26">
        <f>IF(AN228=21,L228,0)</f>
        <v>0</v>
      </c>
      <c r="AN228" s="12">
        <v>21</v>
      </c>
      <c r="AO228" s="12">
        <f>K228*0</f>
        <v>0</v>
      </c>
      <c r="AP228" s="12">
        <f>K228*(1-0)</f>
        <v>0</v>
      </c>
      <c r="AQ228" s="32" t="s">
        <v>89</v>
      </c>
      <c r="AV228" s="12">
        <f>AW228+AX228</f>
        <v>0</v>
      </c>
      <c r="AW228" s="12">
        <f>J228*AO228</f>
        <v>0</v>
      </c>
      <c r="AX228" s="12">
        <f>J228*AP228</f>
        <v>0</v>
      </c>
      <c r="AY228" s="78" t="s">
        <v>904</v>
      </c>
      <c r="AZ228" s="78" t="s">
        <v>921</v>
      </c>
      <c r="BA228" s="27" t="s">
        <v>928</v>
      </c>
      <c r="BC228" s="12">
        <f>AW228+AX228</f>
        <v>0</v>
      </c>
      <c r="BD228" s="12">
        <f>K228/(100-BE228)*100</f>
        <v>0</v>
      </c>
      <c r="BE228" s="12">
        <v>0</v>
      </c>
      <c r="BF228" s="12">
        <f>228</f>
        <v>228</v>
      </c>
      <c r="BH228" s="26">
        <f>J228*AO228</f>
        <v>0</v>
      </c>
      <c r="BI228" s="26">
        <f>J228*AP228</f>
        <v>0</v>
      </c>
      <c r="BJ228" s="26">
        <f>J228*K228</f>
        <v>0</v>
      </c>
    </row>
    <row r="229" spans="1:62" x14ac:dyDescent="0.2">
      <c r="A229" s="54"/>
      <c r="B229" s="19" t="s">
        <v>7</v>
      </c>
      <c r="C229" s="19" t="s">
        <v>31</v>
      </c>
      <c r="D229" s="117" t="s">
        <v>60</v>
      </c>
      <c r="E229" s="118"/>
      <c r="F229" s="118"/>
      <c r="G229" s="118"/>
      <c r="H229" s="118"/>
      <c r="I229" s="54" t="s">
        <v>5</v>
      </c>
      <c r="J229" s="54" t="s">
        <v>5</v>
      </c>
      <c r="K229" s="68" t="s">
        <v>5</v>
      </c>
      <c r="L229" s="80">
        <f>SUM(L230:L252)</f>
        <v>0</v>
      </c>
      <c r="M229" s="27"/>
      <c r="AI229" s="27" t="s">
        <v>7</v>
      </c>
      <c r="AS229" s="80">
        <f>SUM(AJ230:AJ252)</f>
        <v>0</v>
      </c>
      <c r="AT229" s="80">
        <f>SUM(AK230:AK252)</f>
        <v>0</v>
      </c>
      <c r="AU229" s="80">
        <f>SUM(AL230:AL252)</f>
        <v>0</v>
      </c>
    </row>
    <row r="230" spans="1:62" x14ac:dyDescent="0.2">
      <c r="A230" s="18" t="s">
        <v>215</v>
      </c>
      <c r="B230" s="18" t="s">
        <v>7</v>
      </c>
      <c r="C230" s="18" t="s">
        <v>426</v>
      </c>
      <c r="D230" s="111" t="s">
        <v>714</v>
      </c>
      <c r="E230" s="112"/>
      <c r="F230" s="112"/>
      <c r="G230" s="112"/>
      <c r="H230" s="112"/>
      <c r="I230" s="18" t="s">
        <v>781</v>
      </c>
      <c r="J230" s="26">
        <v>8</v>
      </c>
      <c r="K230" s="69">
        <v>0</v>
      </c>
      <c r="L230" s="26">
        <f>J230*K230</f>
        <v>0</v>
      </c>
      <c r="M230" s="32" t="s">
        <v>874</v>
      </c>
      <c r="Z230" s="12">
        <f>IF(AQ230="5",BJ230,0)</f>
        <v>0</v>
      </c>
      <c r="AB230" s="12">
        <f>IF(AQ230="1",BH230,0)</f>
        <v>0</v>
      </c>
      <c r="AC230" s="12">
        <f>IF(AQ230="1",BI230,0)</f>
        <v>0</v>
      </c>
      <c r="AD230" s="12">
        <f>IF(AQ230="7",BH230,0)</f>
        <v>0</v>
      </c>
      <c r="AE230" s="12">
        <f>IF(AQ230="7",BI230,0)</f>
        <v>0</v>
      </c>
      <c r="AF230" s="12">
        <f>IF(AQ230="2",BH230,0)</f>
        <v>0</v>
      </c>
      <c r="AG230" s="12">
        <f>IF(AQ230="2",BI230,0)</f>
        <v>0</v>
      </c>
      <c r="AH230" s="12">
        <f>IF(AQ230="0",BJ230,0)</f>
        <v>0</v>
      </c>
      <c r="AI230" s="27" t="s">
        <v>7</v>
      </c>
      <c r="AJ230" s="26">
        <f>IF(AN230=0,L230,0)</f>
        <v>0</v>
      </c>
      <c r="AK230" s="26">
        <f>IF(AN230=15,L230,0)</f>
        <v>0</v>
      </c>
      <c r="AL230" s="26">
        <f>IF(AN230=21,L230,0)</f>
        <v>0</v>
      </c>
      <c r="AN230" s="12">
        <v>21</v>
      </c>
      <c r="AO230" s="12">
        <f>K230*1</f>
        <v>0</v>
      </c>
      <c r="AP230" s="12">
        <f>K230*(1-1)</f>
        <v>0</v>
      </c>
      <c r="AQ230" s="32" t="s">
        <v>91</v>
      </c>
      <c r="AV230" s="12">
        <f>AW230+AX230</f>
        <v>0</v>
      </c>
      <c r="AW230" s="12">
        <f>J230*AO230</f>
        <v>0</v>
      </c>
      <c r="AX230" s="12">
        <f>J230*AP230</f>
        <v>0</v>
      </c>
      <c r="AY230" s="78" t="s">
        <v>905</v>
      </c>
      <c r="AZ230" s="78" t="s">
        <v>921</v>
      </c>
      <c r="BA230" s="27" t="s">
        <v>928</v>
      </c>
      <c r="BC230" s="12">
        <f>AW230+AX230</f>
        <v>0</v>
      </c>
      <c r="BD230" s="12">
        <f>K230/(100-BE230)*100</f>
        <v>0</v>
      </c>
      <c r="BE230" s="12">
        <v>0</v>
      </c>
      <c r="BF230" s="12">
        <f>230</f>
        <v>230</v>
      </c>
      <c r="BH230" s="26">
        <f>J230*AO230</f>
        <v>0</v>
      </c>
      <c r="BI230" s="26">
        <f>J230*AP230</f>
        <v>0</v>
      </c>
      <c r="BJ230" s="26">
        <f>J230*K230</f>
        <v>0</v>
      </c>
    </row>
    <row r="231" spans="1:62" x14ac:dyDescent="0.2">
      <c r="C231" s="61" t="s">
        <v>9</v>
      </c>
      <c r="D231" s="123" t="s">
        <v>715</v>
      </c>
      <c r="E231" s="124"/>
      <c r="F231" s="124"/>
      <c r="G231" s="124"/>
      <c r="H231" s="124"/>
      <c r="I231" s="124"/>
      <c r="J231" s="124"/>
      <c r="K231" s="159"/>
      <c r="L231" s="124"/>
      <c r="M231" s="124"/>
    </row>
    <row r="232" spans="1:62" x14ac:dyDescent="0.2">
      <c r="A232" s="18" t="s">
        <v>216</v>
      </c>
      <c r="B232" s="18" t="s">
        <v>7</v>
      </c>
      <c r="C232" s="18" t="s">
        <v>427</v>
      </c>
      <c r="D232" s="111" t="s">
        <v>716</v>
      </c>
      <c r="E232" s="112"/>
      <c r="F232" s="112"/>
      <c r="G232" s="112"/>
      <c r="H232" s="112"/>
      <c r="I232" s="18" t="s">
        <v>781</v>
      </c>
      <c r="J232" s="26">
        <v>2</v>
      </c>
      <c r="K232" s="69">
        <v>0</v>
      </c>
      <c r="L232" s="26">
        <f>J232*K232</f>
        <v>0</v>
      </c>
      <c r="M232" s="32" t="s">
        <v>874</v>
      </c>
      <c r="Z232" s="12">
        <f>IF(AQ232="5",BJ232,0)</f>
        <v>0</v>
      </c>
      <c r="AB232" s="12">
        <f>IF(AQ232="1",BH232,0)</f>
        <v>0</v>
      </c>
      <c r="AC232" s="12">
        <f>IF(AQ232="1",BI232,0)</f>
        <v>0</v>
      </c>
      <c r="AD232" s="12">
        <f>IF(AQ232="7",BH232,0)</f>
        <v>0</v>
      </c>
      <c r="AE232" s="12">
        <f>IF(AQ232="7",BI232,0)</f>
        <v>0</v>
      </c>
      <c r="AF232" s="12">
        <f>IF(AQ232="2",BH232,0)</f>
        <v>0</v>
      </c>
      <c r="AG232" s="12">
        <f>IF(AQ232="2",BI232,0)</f>
        <v>0</v>
      </c>
      <c r="AH232" s="12">
        <f>IF(AQ232="0",BJ232,0)</f>
        <v>0</v>
      </c>
      <c r="AI232" s="27" t="s">
        <v>7</v>
      </c>
      <c r="AJ232" s="26">
        <f>IF(AN232=0,L232,0)</f>
        <v>0</v>
      </c>
      <c r="AK232" s="26">
        <f>IF(AN232=15,L232,0)</f>
        <v>0</v>
      </c>
      <c r="AL232" s="26">
        <f>IF(AN232=21,L232,0)</f>
        <v>0</v>
      </c>
      <c r="AN232" s="12">
        <v>21</v>
      </c>
      <c r="AO232" s="12">
        <f>K232*1</f>
        <v>0</v>
      </c>
      <c r="AP232" s="12">
        <f>K232*(1-1)</f>
        <v>0</v>
      </c>
      <c r="AQ232" s="32" t="s">
        <v>91</v>
      </c>
      <c r="AV232" s="12">
        <f>AW232+AX232</f>
        <v>0</v>
      </c>
      <c r="AW232" s="12">
        <f>J232*AO232</f>
        <v>0</v>
      </c>
      <c r="AX232" s="12">
        <f>J232*AP232</f>
        <v>0</v>
      </c>
      <c r="AY232" s="78" t="s">
        <v>905</v>
      </c>
      <c r="AZ232" s="78" t="s">
        <v>921</v>
      </c>
      <c r="BA232" s="27" t="s">
        <v>928</v>
      </c>
      <c r="BC232" s="12">
        <f>AW232+AX232</f>
        <v>0</v>
      </c>
      <c r="BD232" s="12">
        <f>K232/(100-BE232)*100</f>
        <v>0</v>
      </c>
      <c r="BE232" s="12">
        <v>0</v>
      </c>
      <c r="BF232" s="12">
        <f>232</f>
        <v>232</v>
      </c>
      <c r="BH232" s="26">
        <f>J232*AO232</f>
        <v>0</v>
      </c>
      <c r="BI232" s="26">
        <f>J232*AP232</f>
        <v>0</v>
      </c>
      <c r="BJ232" s="26">
        <f>J232*K232</f>
        <v>0</v>
      </c>
    </row>
    <row r="233" spans="1:62" x14ac:dyDescent="0.2">
      <c r="C233" s="61" t="s">
        <v>9</v>
      </c>
      <c r="D233" s="123" t="s">
        <v>717</v>
      </c>
      <c r="E233" s="124"/>
      <c r="F233" s="124"/>
      <c r="G233" s="124"/>
      <c r="H233" s="124"/>
      <c r="I233" s="124"/>
      <c r="J233" s="124"/>
      <c r="K233" s="159"/>
      <c r="L233" s="124"/>
      <c r="M233" s="124"/>
    </row>
    <row r="234" spans="1:62" x14ac:dyDescent="0.2">
      <c r="A234" s="18" t="s">
        <v>217</v>
      </c>
      <c r="B234" s="18" t="s">
        <v>7</v>
      </c>
      <c r="C234" s="18" t="s">
        <v>428</v>
      </c>
      <c r="D234" s="111" t="s">
        <v>718</v>
      </c>
      <c r="E234" s="112"/>
      <c r="F234" s="112"/>
      <c r="G234" s="112"/>
      <c r="H234" s="112"/>
      <c r="I234" s="18" t="s">
        <v>781</v>
      </c>
      <c r="J234" s="26">
        <v>7</v>
      </c>
      <c r="K234" s="69">
        <v>0</v>
      </c>
      <c r="L234" s="26">
        <f>J234*K234</f>
        <v>0</v>
      </c>
      <c r="M234" s="32" t="s">
        <v>874</v>
      </c>
      <c r="Z234" s="12">
        <f>IF(AQ234="5",BJ234,0)</f>
        <v>0</v>
      </c>
      <c r="AB234" s="12">
        <f>IF(AQ234="1",BH234,0)</f>
        <v>0</v>
      </c>
      <c r="AC234" s="12">
        <f>IF(AQ234="1",BI234,0)</f>
        <v>0</v>
      </c>
      <c r="AD234" s="12">
        <f>IF(AQ234="7",BH234,0)</f>
        <v>0</v>
      </c>
      <c r="AE234" s="12">
        <f>IF(AQ234="7",BI234,0)</f>
        <v>0</v>
      </c>
      <c r="AF234" s="12">
        <f>IF(AQ234="2",BH234,0)</f>
        <v>0</v>
      </c>
      <c r="AG234" s="12">
        <f>IF(AQ234="2",BI234,0)</f>
        <v>0</v>
      </c>
      <c r="AH234" s="12">
        <f>IF(AQ234="0",BJ234,0)</f>
        <v>0</v>
      </c>
      <c r="AI234" s="27" t="s">
        <v>7</v>
      </c>
      <c r="AJ234" s="26">
        <f>IF(AN234=0,L234,0)</f>
        <v>0</v>
      </c>
      <c r="AK234" s="26">
        <f>IF(AN234=15,L234,0)</f>
        <v>0</v>
      </c>
      <c r="AL234" s="26">
        <f>IF(AN234=21,L234,0)</f>
        <v>0</v>
      </c>
      <c r="AN234" s="12">
        <v>21</v>
      </c>
      <c r="AO234" s="12">
        <f>K234*1</f>
        <v>0</v>
      </c>
      <c r="AP234" s="12">
        <f>K234*(1-1)</f>
        <v>0</v>
      </c>
      <c r="AQ234" s="32" t="s">
        <v>91</v>
      </c>
      <c r="AV234" s="12">
        <f>AW234+AX234</f>
        <v>0</v>
      </c>
      <c r="AW234" s="12">
        <f>J234*AO234</f>
        <v>0</v>
      </c>
      <c r="AX234" s="12">
        <f>J234*AP234</f>
        <v>0</v>
      </c>
      <c r="AY234" s="78" t="s">
        <v>905</v>
      </c>
      <c r="AZ234" s="78" t="s">
        <v>921</v>
      </c>
      <c r="BA234" s="27" t="s">
        <v>928</v>
      </c>
      <c r="BC234" s="12">
        <f>AW234+AX234</f>
        <v>0</v>
      </c>
      <c r="BD234" s="12">
        <f>K234/(100-BE234)*100</f>
        <v>0</v>
      </c>
      <c r="BE234" s="12">
        <v>0</v>
      </c>
      <c r="BF234" s="12">
        <f>234</f>
        <v>234</v>
      </c>
      <c r="BH234" s="26">
        <f>J234*AO234</f>
        <v>0</v>
      </c>
      <c r="BI234" s="26">
        <f>J234*AP234</f>
        <v>0</v>
      </c>
      <c r="BJ234" s="26">
        <f>J234*K234</f>
        <v>0</v>
      </c>
    </row>
    <row r="235" spans="1:62" x14ac:dyDescent="0.2">
      <c r="C235" s="61" t="s">
        <v>9</v>
      </c>
      <c r="D235" s="123" t="s">
        <v>719</v>
      </c>
      <c r="E235" s="124"/>
      <c r="F235" s="124"/>
      <c r="G235" s="124"/>
      <c r="H235" s="124"/>
      <c r="I235" s="124"/>
      <c r="J235" s="124"/>
      <c r="K235" s="159"/>
      <c r="L235" s="124"/>
      <c r="M235" s="124"/>
    </row>
    <row r="236" spans="1:62" x14ac:dyDescent="0.2">
      <c r="A236" s="18" t="s">
        <v>218</v>
      </c>
      <c r="B236" s="18" t="s">
        <v>7</v>
      </c>
      <c r="C236" s="18" t="s">
        <v>429</v>
      </c>
      <c r="D236" s="111" t="s">
        <v>720</v>
      </c>
      <c r="E236" s="112"/>
      <c r="F236" s="112"/>
      <c r="G236" s="112"/>
      <c r="H236" s="112"/>
      <c r="I236" s="18" t="s">
        <v>781</v>
      </c>
      <c r="J236" s="26">
        <v>2</v>
      </c>
      <c r="K236" s="69">
        <v>0</v>
      </c>
      <c r="L236" s="26">
        <f>J236*K236</f>
        <v>0</v>
      </c>
      <c r="M236" s="32" t="s">
        <v>874</v>
      </c>
      <c r="Z236" s="12">
        <f>IF(AQ236="5",BJ236,0)</f>
        <v>0</v>
      </c>
      <c r="AB236" s="12">
        <f>IF(AQ236="1",BH236,0)</f>
        <v>0</v>
      </c>
      <c r="AC236" s="12">
        <f>IF(AQ236="1",BI236,0)</f>
        <v>0</v>
      </c>
      <c r="AD236" s="12">
        <f>IF(AQ236="7",BH236,0)</f>
        <v>0</v>
      </c>
      <c r="AE236" s="12">
        <f>IF(AQ236="7",BI236,0)</f>
        <v>0</v>
      </c>
      <c r="AF236" s="12">
        <f>IF(AQ236="2",BH236,0)</f>
        <v>0</v>
      </c>
      <c r="AG236" s="12">
        <f>IF(AQ236="2",BI236,0)</f>
        <v>0</v>
      </c>
      <c r="AH236" s="12">
        <f>IF(AQ236="0",BJ236,0)</f>
        <v>0</v>
      </c>
      <c r="AI236" s="27" t="s">
        <v>7</v>
      </c>
      <c r="AJ236" s="26">
        <f>IF(AN236=0,L236,0)</f>
        <v>0</v>
      </c>
      <c r="AK236" s="26">
        <f>IF(AN236=15,L236,0)</f>
        <v>0</v>
      </c>
      <c r="AL236" s="26">
        <f>IF(AN236=21,L236,0)</f>
        <v>0</v>
      </c>
      <c r="AN236" s="12">
        <v>21</v>
      </c>
      <c r="AO236" s="12">
        <f>K236*1</f>
        <v>0</v>
      </c>
      <c r="AP236" s="12">
        <f>K236*(1-1)</f>
        <v>0</v>
      </c>
      <c r="AQ236" s="32" t="s">
        <v>91</v>
      </c>
      <c r="AV236" s="12">
        <f>AW236+AX236</f>
        <v>0</v>
      </c>
      <c r="AW236" s="12">
        <f>J236*AO236</f>
        <v>0</v>
      </c>
      <c r="AX236" s="12">
        <f>J236*AP236</f>
        <v>0</v>
      </c>
      <c r="AY236" s="78" t="s">
        <v>905</v>
      </c>
      <c r="AZ236" s="78" t="s">
        <v>921</v>
      </c>
      <c r="BA236" s="27" t="s">
        <v>928</v>
      </c>
      <c r="BC236" s="12">
        <f>AW236+AX236</f>
        <v>0</v>
      </c>
      <c r="BD236" s="12">
        <f>K236/(100-BE236)*100</f>
        <v>0</v>
      </c>
      <c r="BE236" s="12">
        <v>0</v>
      </c>
      <c r="BF236" s="12">
        <f>236</f>
        <v>236</v>
      </c>
      <c r="BH236" s="26">
        <f>J236*AO236</f>
        <v>0</v>
      </c>
      <c r="BI236" s="26">
        <f>J236*AP236</f>
        <v>0</v>
      </c>
      <c r="BJ236" s="26">
        <f>J236*K236</f>
        <v>0</v>
      </c>
    </row>
    <row r="237" spans="1:62" x14ac:dyDescent="0.2">
      <c r="A237" s="18" t="s">
        <v>219</v>
      </c>
      <c r="B237" s="18" t="s">
        <v>7</v>
      </c>
      <c r="C237" s="18" t="s">
        <v>430</v>
      </c>
      <c r="D237" s="111" t="s">
        <v>721</v>
      </c>
      <c r="E237" s="112"/>
      <c r="F237" s="112"/>
      <c r="G237" s="112"/>
      <c r="H237" s="112"/>
      <c r="I237" s="18" t="s">
        <v>784</v>
      </c>
      <c r="J237" s="26">
        <v>1</v>
      </c>
      <c r="K237" s="69">
        <v>0</v>
      </c>
      <c r="L237" s="26">
        <f>J237*K237</f>
        <v>0</v>
      </c>
      <c r="M237" s="32" t="s">
        <v>874</v>
      </c>
      <c r="Z237" s="12">
        <f>IF(AQ237="5",BJ237,0)</f>
        <v>0</v>
      </c>
      <c r="AB237" s="12">
        <f>IF(AQ237="1",BH237,0)</f>
        <v>0</v>
      </c>
      <c r="AC237" s="12">
        <f>IF(AQ237="1",BI237,0)</f>
        <v>0</v>
      </c>
      <c r="AD237" s="12">
        <f>IF(AQ237="7",BH237,0)</f>
        <v>0</v>
      </c>
      <c r="AE237" s="12">
        <f>IF(AQ237="7",BI237,0)</f>
        <v>0</v>
      </c>
      <c r="AF237" s="12">
        <f>IF(AQ237="2",BH237,0)</f>
        <v>0</v>
      </c>
      <c r="AG237" s="12">
        <f>IF(AQ237="2",BI237,0)</f>
        <v>0</v>
      </c>
      <c r="AH237" s="12">
        <f>IF(AQ237="0",BJ237,0)</f>
        <v>0</v>
      </c>
      <c r="AI237" s="27" t="s">
        <v>7</v>
      </c>
      <c r="AJ237" s="26">
        <f>IF(AN237=0,L237,0)</f>
        <v>0</v>
      </c>
      <c r="AK237" s="26">
        <f>IF(AN237=15,L237,0)</f>
        <v>0</v>
      </c>
      <c r="AL237" s="26">
        <f>IF(AN237=21,L237,0)</f>
        <v>0</v>
      </c>
      <c r="AN237" s="12">
        <v>21</v>
      </c>
      <c r="AO237" s="12">
        <f>K237*1</f>
        <v>0</v>
      </c>
      <c r="AP237" s="12">
        <f>K237*(1-1)</f>
        <v>0</v>
      </c>
      <c r="AQ237" s="32" t="s">
        <v>91</v>
      </c>
      <c r="AV237" s="12">
        <f>AW237+AX237</f>
        <v>0</v>
      </c>
      <c r="AW237" s="12">
        <f>J237*AO237</f>
        <v>0</v>
      </c>
      <c r="AX237" s="12">
        <f>J237*AP237</f>
        <v>0</v>
      </c>
      <c r="AY237" s="78" t="s">
        <v>905</v>
      </c>
      <c r="AZ237" s="78" t="s">
        <v>921</v>
      </c>
      <c r="BA237" s="27" t="s">
        <v>928</v>
      </c>
      <c r="BC237" s="12">
        <f>AW237+AX237</f>
        <v>0</v>
      </c>
      <c r="BD237" s="12">
        <f>K237/(100-BE237)*100</f>
        <v>0</v>
      </c>
      <c r="BE237" s="12">
        <v>0</v>
      </c>
      <c r="BF237" s="12">
        <f>237</f>
        <v>237</v>
      </c>
      <c r="BH237" s="26">
        <f>J237*AO237</f>
        <v>0</v>
      </c>
      <c r="BI237" s="26">
        <f>J237*AP237</f>
        <v>0</v>
      </c>
      <c r="BJ237" s="26">
        <f>J237*K237</f>
        <v>0</v>
      </c>
    </row>
    <row r="238" spans="1:62" x14ac:dyDescent="0.2">
      <c r="A238" s="18" t="s">
        <v>220</v>
      </c>
      <c r="B238" s="18" t="s">
        <v>7</v>
      </c>
      <c r="C238" s="18" t="s">
        <v>431</v>
      </c>
      <c r="D238" s="111" t="s">
        <v>722</v>
      </c>
      <c r="E238" s="112"/>
      <c r="F238" s="112"/>
      <c r="G238" s="112"/>
      <c r="H238" s="112"/>
      <c r="I238" s="18" t="s">
        <v>782</v>
      </c>
      <c r="J238" s="26">
        <v>30.44</v>
      </c>
      <c r="K238" s="69">
        <v>0</v>
      </c>
      <c r="L238" s="26">
        <f>J238*K238</f>
        <v>0</v>
      </c>
      <c r="M238" s="32" t="s">
        <v>876</v>
      </c>
      <c r="Z238" s="12">
        <f>IF(AQ238="5",BJ238,0)</f>
        <v>0</v>
      </c>
      <c r="AB238" s="12">
        <f>IF(AQ238="1",BH238,0)</f>
        <v>0</v>
      </c>
      <c r="AC238" s="12">
        <f>IF(AQ238="1",BI238,0)</f>
        <v>0</v>
      </c>
      <c r="AD238" s="12">
        <f>IF(AQ238="7",BH238,0)</f>
        <v>0</v>
      </c>
      <c r="AE238" s="12">
        <f>IF(AQ238="7",BI238,0)</f>
        <v>0</v>
      </c>
      <c r="AF238" s="12">
        <f>IF(AQ238="2",BH238,0)</f>
        <v>0</v>
      </c>
      <c r="AG238" s="12">
        <f>IF(AQ238="2",BI238,0)</f>
        <v>0</v>
      </c>
      <c r="AH238" s="12">
        <f>IF(AQ238="0",BJ238,0)</f>
        <v>0</v>
      </c>
      <c r="AI238" s="27" t="s">
        <v>7</v>
      </c>
      <c r="AJ238" s="26">
        <f>IF(AN238=0,L238,0)</f>
        <v>0</v>
      </c>
      <c r="AK238" s="26">
        <f>IF(AN238=15,L238,0)</f>
        <v>0</v>
      </c>
      <c r="AL238" s="26">
        <f>IF(AN238=21,L238,0)</f>
        <v>0</v>
      </c>
      <c r="AN238" s="12">
        <v>21</v>
      </c>
      <c r="AO238" s="12">
        <f>K238*0.12105947278767</f>
        <v>0</v>
      </c>
      <c r="AP238" s="12">
        <f>K238*(1-0.12105947278767)</f>
        <v>0</v>
      </c>
      <c r="AQ238" s="32" t="s">
        <v>91</v>
      </c>
      <c r="AV238" s="12">
        <f>AW238+AX238</f>
        <v>0</v>
      </c>
      <c r="AW238" s="12">
        <f>J238*AO238</f>
        <v>0</v>
      </c>
      <c r="AX238" s="12">
        <f>J238*AP238</f>
        <v>0</v>
      </c>
      <c r="AY238" s="78" t="s">
        <v>905</v>
      </c>
      <c r="AZ238" s="78" t="s">
        <v>921</v>
      </c>
      <c r="BA238" s="27" t="s">
        <v>928</v>
      </c>
      <c r="BC238" s="12">
        <f>AW238+AX238</f>
        <v>0</v>
      </c>
      <c r="BD238" s="12">
        <f>K238/(100-BE238)*100</f>
        <v>0</v>
      </c>
      <c r="BE238" s="12">
        <v>0</v>
      </c>
      <c r="BF238" s="12">
        <f>238</f>
        <v>238</v>
      </c>
      <c r="BH238" s="26">
        <f>J238*AO238</f>
        <v>0</v>
      </c>
      <c r="BI238" s="26">
        <f>J238*AP238</f>
        <v>0</v>
      </c>
      <c r="BJ238" s="26">
        <f>J238*K238</f>
        <v>0</v>
      </c>
    </row>
    <row r="239" spans="1:62" x14ac:dyDescent="0.2">
      <c r="A239" s="18" t="s">
        <v>221</v>
      </c>
      <c r="B239" s="18" t="s">
        <v>7</v>
      </c>
      <c r="C239" s="18" t="s">
        <v>432</v>
      </c>
      <c r="D239" s="111" t="s">
        <v>724</v>
      </c>
      <c r="E239" s="112"/>
      <c r="F239" s="112"/>
      <c r="G239" s="112"/>
      <c r="H239" s="112"/>
      <c r="I239" s="18" t="s">
        <v>787</v>
      </c>
      <c r="J239" s="26">
        <v>112.95</v>
      </c>
      <c r="K239" s="69">
        <v>0</v>
      </c>
      <c r="L239" s="26">
        <f>J239*K239</f>
        <v>0</v>
      </c>
      <c r="M239" s="32" t="s">
        <v>874</v>
      </c>
      <c r="Z239" s="12">
        <f>IF(AQ239="5",BJ239,0)</f>
        <v>0</v>
      </c>
      <c r="AB239" s="12">
        <f>IF(AQ239="1",BH239,0)</f>
        <v>0</v>
      </c>
      <c r="AC239" s="12">
        <f>IF(AQ239="1",BI239,0)</f>
        <v>0</v>
      </c>
      <c r="AD239" s="12">
        <f>IF(AQ239="7",BH239,0)</f>
        <v>0</v>
      </c>
      <c r="AE239" s="12">
        <f>IF(AQ239="7",BI239,0)</f>
        <v>0</v>
      </c>
      <c r="AF239" s="12">
        <f>IF(AQ239="2",BH239,0)</f>
        <v>0</v>
      </c>
      <c r="AG239" s="12">
        <f>IF(AQ239="2",BI239,0)</f>
        <v>0</v>
      </c>
      <c r="AH239" s="12">
        <f>IF(AQ239="0",BJ239,0)</f>
        <v>0</v>
      </c>
      <c r="AI239" s="27" t="s">
        <v>7</v>
      </c>
      <c r="AJ239" s="26">
        <f>IF(AN239=0,L239,0)</f>
        <v>0</v>
      </c>
      <c r="AK239" s="26">
        <f>IF(AN239=15,L239,0)</f>
        <v>0</v>
      </c>
      <c r="AL239" s="26">
        <f>IF(AN239=21,L239,0)</f>
        <v>0</v>
      </c>
      <c r="AN239" s="12">
        <v>21</v>
      </c>
      <c r="AO239" s="12">
        <f>K239*0.14146854724749</f>
        <v>0</v>
      </c>
      <c r="AP239" s="12">
        <f>K239*(1-0.14146854724749)</f>
        <v>0</v>
      </c>
      <c r="AQ239" s="32" t="s">
        <v>91</v>
      </c>
      <c r="AV239" s="12">
        <f>AW239+AX239</f>
        <v>0</v>
      </c>
      <c r="AW239" s="12">
        <f>J239*AO239</f>
        <v>0</v>
      </c>
      <c r="AX239" s="12">
        <f>J239*AP239</f>
        <v>0</v>
      </c>
      <c r="AY239" s="78" t="s">
        <v>905</v>
      </c>
      <c r="AZ239" s="78" t="s">
        <v>921</v>
      </c>
      <c r="BA239" s="27" t="s">
        <v>928</v>
      </c>
      <c r="BC239" s="12">
        <f>AW239+AX239</f>
        <v>0</v>
      </c>
      <c r="BD239" s="12">
        <f>K239/(100-BE239)*100</f>
        <v>0</v>
      </c>
      <c r="BE239" s="12">
        <v>0</v>
      </c>
      <c r="BF239" s="12">
        <f>239</f>
        <v>239</v>
      </c>
      <c r="BH239" s="26">
        <f>J239*AO239</f>
        <v>0</v>
      </c>
      <c r="BI239" s="26">
        <f>J239*AP239</f>
        <v>0</v>
      </c>
      <c r="BJ239" s="26">
        <f>J239*K239</f>
        <v>0</v>
      </c>
    </row>
    <row r="240" spans="1:62" x14ac:dyDescent="0.2">
      <c r="A240" s="20" t="s">
        <v>222</v>
      </c>
      <c r="B240" s="20" t="s">
        <v>7</v>
      </c>
      <c r="C240" s="20" t="s">
        <v>433</v>
      </c>
      <c r="D240" s="121" t="s">
        <v>726</v>
      </c>
      <c r="E240" s="122"/>
      <c r="F240" s="122"/>
      <c r="G240" s="122"/>
      <c r="H240" s="122"/>
      <c r="I240" s="20" t="s">
        <v>786</v>
      </c>
      <c r="J240" s="29">
        <v>0.11294999999999999</v>
      </c>
      <c r="K240" s="70">
        <v>0</v>
      </c>
      <c r="L240" s="29">
        <f>J240*K240</f>
        <v>0</v>
      </c>
      <c r="M240" s="33" t="s">
        <v>874</v>
      </c>
      <c r="Z240" s="12">
        <f>IF(AQ240="5",BJ240,0)</f>
        <v>0</v>
      </c>
      <c r="AB240" s="12">
        <f>IF(AQ240="1",BH240,0)</f>
        <v>0</v>
      </c>
      <c r="AC240" s="12">
        <f>IF(AQ240="1",BI240,0)</f>
        <v>0</v>
      </c>
      <c r="AD240" s="12">
        <f>IF(AQ240="7",BH240,0)</f>
        <v>0</v>
      </c>
      <c r="AE240" s="12">
        <f>IF(AQ240="7",BI240,0)</f>
        <v>0</v>
      </c>
      <c r="AF240" s="12">
        <f>IF(AQ240="2",BH240,0)</f>
        <v>0</v>
      </c>
      <c r="AG240" s="12">
        <f>IF(AQ240="2",BI240,0)</f>
        <v>0</v>
      </c>
      <c r="AH240" s="12">
        <f>IF(AQ240="0",BJ240,0)</f>
        <v>0</v>
      </c>
      <c r="AI240" s="27" t="s">
        <v>7</v>
      </c>
      <c r="AJ240" s="29">
        <f>IF(AN240=0,L240,0)</f>
        <v>0</v>
      </c>
      <c r="AK240" s="29">
        <f>IF(AN240=15,L240,0)</f>
        <v>0</v>
      </c>
      <c r="AL240" s="29">
        <f>IF(AN240=21,L240,0)</f>
        <v>0</v>
      </c>
      <c r="AN240" s="12">
        <v>21</v>
      </c>
      <c r="AO240" s="12">
        <f>K240*1</f>
        <v>0</v>
      </c>
      <c r="AP240" s="12">
        <f>K240*(1-1)</f>
        <v>0</v>
      </c>
      <c r="AQ240" s="33" t="s">
        <v>91</v>
      </c>
      <c r="AV240" s="12">
        <f>AW240+AX240</f>
        <v>0</v>
      </c>
      <c r="AW240" s="12">
        <f>J240*AO240</f>
        <v>0</v>
      </c>
      <c r="AX240" s="12">
        <f>J240*AP240</f>
        <v>0</v>
      </c>
      <c r="AY240" s="78" t="s">
        <v>905</v>
      </c>
      <c r="AZ240" s="78" t="s">
        <v>921</v>
      </c>
      <c r="BA240" s="27" t="s">
        <v>928</v>
      </c>
      <c r="BC240" s="12">
        <f>AW240+AX240</f>
        <v>0</v>
      </c>
      <c r="BD240" s="12">
        <f>K240/(100-BE240)*100</f>
        <v>0</v>
      </c>
      <c r="BE240" s="12">
        <v>0</v>
      </c>
      <c r="BF240" s="12">
        <f>240</f>
        <v>240</v>
      </c>
      <c r="BH240" s="29">
        <f>J240*AO240</f>
        <v>0</v>
      </c>
      <c r="BI240" s="29">
        <f>J240*AP240</f>
        <v>0</v>
      </c>
      <c r="BJ240" s="29">
        <f>J240*K240</f>
        <v>0</v>
      </c>
    </row>
    <row r="241" spans="1:62" x14ac:dyDescent="0.2">
      <c r="C241" s="62" t="s">
        <v>296</v>
      </c>
      <c r="D241" s="113" t="s">
        <v>728</v>
      </c>
      <c r="E241" s="114"/>
      <c r="F241" s="114"/>
      <c r="G241" s="114"/>
      <c r="H241" s="114"/>
      <c r="I241" s="114"/>
      <c r="J241" s="114"/>
      <c r="K241" s="154"/>
      <c r="L241" s="114"/>
      <c r="M241" s="114"/>
    </row>
    <row r="242" spans="1:62" x14ac:dyDescent="0.2">
      <c r="A242" s="18" t="s">
        <v>223</v>
      </c>
      <c r="B242" s="18" t="s">
        <v>7</v>
      </c>
      <c r="C242" s="18" t="s">
        <v>434</v>
      </c>
      <c r="D242" s="111" t="s">
        <v>729</v>
      </c>
      <c r="E242" s="112"/>
      <c r="F242" s="112"/>
      <c r="G242" s="112"/>
      <c r="H242" s="112"/>
      <c r="I242" s="18" t="s">
        <v>787</v>
      </c>
      <c r="J242" s="26">
        <v>62.406999999999996</v>
      </c>
      <c r="K242" s="69">
        <v>0</v>
      </c>
      <c r="L242" s="26">
        <f>J242*K242</f>
        <v>0</v>
      </c>
      <c r="M242" s="32" t="s">
        <v>874</v>
      </c>
      <c r="Z242" s="12">
        <f>IF(AQ242="5",BJ242,0)</f>
        <v>0</v>
      </c>
      <c r="AB242" s="12">
        <f>IF(AQ242="1",BH242,0)</f>
        <v>0</v>
      </c>
      <c r="AC242" s="12">
        <f>IF(AQ242="1",BI242,0)</f>
        <v>0</v>
      </c>
      <c r="AD242" s="12">
        <f>IF(AQ242="7",BH242,0)</f>
        <v>0</v>
      </c>
      <c r="AE242" s="12">
        <f>IF(AQ242="7",BI242,0)</f>
        <v>0</v>
      </c>
      <c r="AF242" s="12">
        <f>IF(AQ242="2",BH242,0)</f>
        <v>0</v>
      </c>
      <c r="AG242" s="12">
        <f>IF(AQ242="2",BI242,0)</f>
        <v>0</v>
      </c>
      <c r="AH242" s="12">
        <f>IF(AQ242="0",BJ242,0)</f>
        <v>0</v>
      </c>
      <c r="AI242" s="27" t="s">
        <v>7</v>
      </c>
      <c r="AJ242" s="26">
        <f>IF(AN242=0,L242,0)</f>
        <v>0</v>
      </c>
      <c r="AK242" s="26">
        <f>IF(AN242=15,L242,0)</f>
        <v>0</v>
      </c>
      <c r="AL242" s="26">
        <f>IF(AN242=21,L242,0)</f>
        <v>0</v>
      </c>
      <c r="AN242" s="12">
        <v>21</v>
      </c>
      <c r="AO242" s="12">
        <f>K242*0.0769179051023766</f>
        <v>0</v>
      </c>
      <c r="AP242" s="12">
        <f>K242*(1-0.0769179051023766)</f>
        <v>0</v>
      </c>
      <c r="AQ242" s="32" t="s">
        <v>91</v>
      </c>
      <c r="AV242" s="12">
        <f>AW242+AX242</f>
        <v>0</v>
      </c>
      <c r="AW242" s="12">
        <f>J242*AO242</f>
        <v>0</v>
      </c>
      <c r="AX242" s="12">
        <f>J242*AP242</f>
        <v>0</v>
      </c>
      <c r="AY242" s="78" t="s">
        <v>905</v>
      </c>
      <c r="AZ242" s="78" t="s">
        <v>921</v>
      </c>
      <c r="BA242" s="27" t="s">
        <v>928</v>
      </c>
      <c r="BC242" s="12">
        <f>AW242+AX242</f>
        <v>0</v>
      </c>
      <c r="BD242" s="12">
        <f>K242/(100-BE242)*100</f>
        <v>0</v>
      </c>
      <c r="BE242" s="12">
        <v>0</v>
      </c>
      <c r="BF242" s="12">
        <f>242</f>
        <v>242</v>
      </c>
      <c r="BH242" s="26">
        <f>J242*AO242</f>
        <v>0</v>
      </c>
      <c r="BI242" s="26">
        <f>J242*AP242</f>
        <v>0</v>
      </c>
      <c r="BJ242" s="26">
        <f>J242*K242</f>
        <v>0</v>
      </c>
    </row>
    <row r="243" spans="1:62" x14ac:dyDescent="0.2">
      <c r="A243" s="20" t="s">
        <v>224</v>
      </c>
      <c r="B243" s="20" t="s">
        <v>7</v>
      </c>
      <c r="C243" s="20" t="s">
        <v>435</v>
      </c>
      <c r="D243" s="121" t="s">
        <v>732</v>
      </c>
      <c r="E243" s="122"/>
      <c r="F243" s="122"/>
      <c r="G243" s="122"/>
      <c r="H243" s="122"/>
      <c r="I243" s="20" t="s">
        <v>786</v>
      </c>
      <c r="J243" s="29">
        <v>6.8650000000000003E-2</v>
      </c>
      <c r="K243" s="70">
        <v>0</v>
      </c>
      <c r="L243" s="29">
        <f>J243*K243</f>
        <v>0</v>
      </c>
      <c r="M243" s="33" t="s">
        <v>874</v>
      </c>
      <c r="Z243" s="12">
        <f>IF(AQ243="5",BJ243,0)</f>
        <v>0</v>
      </c>
      <c r="AB243" s="12">
        <f>IF(AQ243="1",BH243,0)</f>
        <v>0</v>
      </c>
      <c r="AC243" s="12">
        <f>IF(AQ243="1",BI243,0)</f>
        <v>0</v>
      </c>
      <c r="AD243" s="12">
        <f>IF(AQ243="7",BH243,0)</f>
        <v>0</v>
      </c>
      <c r="AE243" s="12">
        <f>IF(AQ243="7",BI243,0)</f>
        <v>0</v>
      </c>
      <c r="AF243" s="12">
        <f>IF(AQ243="2",BH243,0)</f>
        <v>0</v>
      </c>
      <c r="AG243" s="12">
        <f>IF(AQ243="2",BI243,0)</f>
        <v>0</v>
      </c>
      <c r="AH243" s="12">
        <f>IF(AQ243="0",BJ243,0)</f>
        <v>0</v>
      </c>
      <c r="AI243" s="27" t="s">
        <v>7</v>
      </c>
      <c r="AJ243" s="29">
        <f>IF(AN243=0,L243,0)</f>
        <v>0</v>
      </c>
      <c r="AK243" s="29">
        <f>IF(AN243=15,L243,0)</f>
        <v>0</v>
      </c>
      <c r="AL243" s="29">
        <f>IF(AN243=21,L243,0)</f>
        <v>0</v>
      </c>
      <c r="AN243" s="12">
        <v>21</v>
      </c>
      <c r="AO243" s="12">
        <f>K243*1</f>
        <v>0</v>
      </c>
      <c r="AP243" s="12">
        <f>K243*(1-1)</f>
        <v>0</v>
      </c>
      <c r="AQ243" s="33" t="s">
        <v>91</v>
      </c>
      <c r="AV243" s="12">
        <f>AW243+AX243</f>
        <v>0</v>
      </c>
      <c r="AW243" s="12">
        <f>J243*AO243</f>
        <v>0</v>
      </c>
      <c r="AX243" s="12">
        <f>J243*AP243</f>
        <v>0</v>
      </c>
      <c r="AY243" s="78" t="s">
        <v>905</v>
      </c>
      <c r="AZ243" s="78" t="s">
        <v>921</v>
      </c>
      <c r="BA243" s="27" t="s">
        <v>928</v>
      </c>
      <c r="BC243" s="12">
        <f>AW243+AX243</f>
        <v>0</v>
      </c>
      <c r="BD243" s="12">
        <f>K243/(100-BE243)*100</f>
        <v>0</v>
      </c>
      <c r="BE243" s="12">
        <v>0</v>
      </c>
      <c r="BF243" s="12">
        <f>243</f>
        <v>243</v>
      </c>
      <c r="BH243" s="29">
        <f>J243*AO243</f>
        <v>0</v>
      </c>
      <c r="BI243" s="29">
        <f>J243*AP243</f>
        <v>0</v>
      </c>
      <c r="BJ243" s="29">
        <f>J243*K243</f>
        <v>0</v>
      </c>
    </row>
    <row r="244" spans="1:62" x14ac:dyDescent="0.2">
      <c r="C244" s="62" t="s">
        <v>296</v>
      </c>
      <c r="D244" s="113" t="s">
        <v>735</v>
      </c>
      <c r="E244" s="114"/>
      <c r="F244" s="114"/>
      <c r="G244" s="114"/>
      <c r="H244" s="114"/>
      <c r="I244" s="114"/>
      <c r="J244" s="114"/>
      <c r="K244" s="154"/>
      <c r="L244" s="114"/>
      <c r="M244" s="114"/>
    </row>
    <row r="245" spans="1:62" x14ac:dyDescent="0.2">
      <c r="A245" s="18" t="s">
        <v>225</v>
      </c>
      <c r="B245" s="18" t="s">
        <v>7</v>
      </c>
      <c r="C245" s="18" t="s">
        <v>436</v>
      </c>
      <c r="D245" s="111" t="s">
        <v>736</v>
      </c>
      <c r="E245" s="112"/>
      <c r="F245" s="112"/>
      <c r="G245" s="112"/>
      <c r="H245" s="112"/>
      <c r="I245" s="18" t="s">
        <v>787</v>
      </c>
      <c r="J245" s="26">
        <v>85.747</v>
      </c>
      <c r="K245" s="69">
        <v>0</v>
      </c>
      <c r="L245" s="26">
        <f>J245*K245</f>
        <v>0</v>
      </c>
      <c r="M245" s="32" t="s">
        <v>874</v>
      </c>
      <c r="Z245" s="12">
        <f>IF(AQ245="5",BJ245,0)</f>
        <v>0</v>
      </c>
      <c r="AB245" s="12">
        <f>IF(AQ245="1",BH245,0)</f>
        <v>0</v>
      </c>
      <c r="AC245" s="12">
        <f>IF(AQ245="1",BI245,0)</f>
        <v>0</v>
      </c>
      <c r="AD245" s="12">
        <f>IF(AQ245="7",BH245,0)</f>
        <v>0</v>
      </c>
      <c r="AE245" s="12">
        <f>IF(AQ245="7",BI245,0)</f>
        <v>0</v>
      </c>
      <c r="AF245" s="12">
        <f>IF(AQ245="2",BH245,0)</f>
        <v>0</v>
      </c>
      <c r="AG245" s="12">
        <f>IF(AQ245="2",BI245,0)</f>
        <v>0</v>
      </c>
      <c r="AH245" s="12">
        <f>IF(AQ245="0",BJ245,0)</f>
        <v>0</v>
      </c>
      <c r="AI245" s="27" t="s">
        <v>7</v>
      </c>
      <c r="AJ245" s="26">
        <f>IF(AN245=0,L245,0)</f>
        <v>0</v>
      </c>
      <c r="AK245" s="26">
        <f>IF(AN245=15,L245,0)</f>
        <v>0</v>
      </c>
      <c r="AL245" s="26">
        <f>IF(AN245=21,L245,0)</f>
        <v>0</v>
      </c>
      <c r="AN245" s="12">
        <v>21</v>
      </c>
      <c r="AO245" s="12">
        <f>K245*0.139056634371858</f>
        <v>0</v>
      </c>
      <c r="AP245" s="12">
        <f>K245*(1-0.139056634371858)</f>
        <v>0</v>
      </c>
      <c r="AQ245" s="32" t="s">
        <v>91</v>
      </c>
      <c r="AV245" s="12">
        <f>AW245+AX245</f>
        <v>0</v>
      </c>
      <c r="AW245" s="12">
        <f>J245*AO245</f>
        <v>0</v>
      </c>
      <c r="AX245" s="12">
        <f>J245*AP245</f>
        <v>0</v>
      </c>
      <c r="AY245" s="78" t="s">
        <v>905</v>
      </c>
      <c r="AZ245" s="78" t="s">
        <v>921</v>
      </c>
      <c r="BA245" s="27" t="s">
        <v>928</v>
      </c>
      <c r="BC245" s="12">
        <f>AW245+AX245</f>
        <v>0</v>
      </c>
      <c r="BD245" s="12">
        <f>K245/(100-BE245)*100</f>
        <v>0</v>
      </c>
      <c r="BE245" s="12">
        <v>0</v>
      </c>
      <c r="BF245" s="12">
        <f>245</f>
        <v>245</v>
      </c>
      <c r="BH245" s="26">
        <f>J245*AO245</f>
        <v>0</v>
      </c>
      <c r="BI245" s="26">
        <f>J245*AP245</f>
        <v>0</v>
      </c>
      <c r="BJ245" s="26">
        <f>J245*K245</f>
        <v>0</v>
      </c>
    </row>
    <row r="246" spans="1:62" x14ac:dyDescent="0.2">
      <c r="A246" s="20" t="s">
        <v>226</v>
      </c>
      <c r="B246" s="20" t="s">
        <v>7</v>
      </c>
      <c r="C246" s="20" t="s">
        <v>437</v>
      </c>
      <c r="D246" s="121" t="s">
        <v>738</v>
      </c>
      <c r="E246" s="122"/>
      <c r="F246" s="122"/>
      <c r="G246" s="122"/>
      <c r="H246" s="122"/>
      <c r="I246" s="20" t="s">
        <v>786</v>
      </c>
      <c r="J246" s="29">
        <v>9.4320000000000001E-2</v>
      </c>
      <c r="K246" s="70">
        <v>0</v>
      </c>
      <c r="L246" s="29">
        <f>J246*K246</f>
        <v>0</v>
      </c>
      <c r="M246" s="33" t="s">
        <v>874</v>
      </c>
      <c r="Z246" s="12">
        <f>IF(AQ246="5",BJ246,0)</f>
        <v>0</v>
      </c>
      <c r="AB246" s="12">
        <f>IF(AQ246="1",BH246,0)</f>
        <v>0</v>
      </c>
      <c r="AC246" s="12">
        <f>IF(AQ246="1",BI246,0)</f>
        <v>0</v>
      </c>
      <c r="AD246" s="12">
        <f>IF(AQ246="7",BH246,0)</f>
        <v>0</v>
      </c>
      <c r="AE246" s="12">
        <f>IF(AQ246="7",BI246,0)</f>
        <v>0</v>
      </c>
      <c r="AF246" s="12">
        <f>IF(AQ246="2",BH246,0)</f>
        <v>0</v>
      </c>
      <c r="AG246" s="12">
        <f>IF(AQ246="2",BI246,0)</f>
        <v>0</v>
      </c>
      <c r="AH246" s="12">
        <f>IF(AQ246="0",BJ246,0)</f>
        <v>0</v>
      </c>
      <c r="AI246" s="27" t="s">
        <v>7</v>
      </c>
      <c r="AJ246" s="29">
        <f>IF(AN246=0,L246,0)</f>
        <v>0</v>
      </c>
      <c r="AK246" s="29">
        <f>IF(AN246=15,L246,0)</f>
        <v>0</v>
      </c>
      <c r="AL246" s="29">
        <f>IF(AN246=21,L246,0)</f>
        <v>0</v>
      </c>
      <c r="AN246" s="12">
        <v>21</v>
      </c>
      <c r="AO246" s="12">
        <f>K246*1</f>
        <v>0</v>
      </c>
      <c r="AP246" s="12">
        <f>K246*(1-1)</f>
        <v>0</v>
      </c>
      <c r="AQ246" s="33" t="s">
        <v>91</v>
      </c>
      <c r="AV246" s="12">
        <f>AW246+AX246</f>
        <v>0</v>
      </c>
      <c r="AW246" s="12">
        <f>J246*AO246</f>
        <v>0</v>
      </c>
      <c r="AX246" s="12">
        <f>J246*AP246</f>
        <v>0</v>
      </c>
      <c r="AY246" s="78" t="s">
        <v>905</v>
      </c>
      <c r="AZ246" s="78" t="s">
        <v>921</v>
      </c>
      <c r="BA246" s="27" t="s">
        <v>928</v>
      </c>
      <c r="BC246" s="12">
        <f>AW246+AX246</f>
        <v>0</v>
      </c>
      <c r="BD246" s="12">
        <f>K246/(100-BE246)*100</f>
        <v>0</v>
      </c>
      <c r="BE246" s="12">
        <v>0</v>
      </c>
      <c r="BF246" s="12">
        <f>246</f>
        <v>246</v>
      </c>
      <c r="BH246" s="29">
        <f>J246*AO246</f>
        <v>0</v>
      </c>
      <c r="BI246" s="29">
        <f>J246*AP246</f>
        <v>0</v>
      </c>
      <c r="BJ246" s="29">
        <f>J246*K246</f>
        <v>0</v>
      </c>
    </row>
    <row r="247" spans="1:62" x14ac:dyDescent="0.2">
      <c r="C247" s="62" t="s">
        <v>296</v>
      </c>
      <c r="D247" s="113" t="s">
        <v>740</v>
      </c>
      <c r="E247" s="114"/>
      <c r="F247" s="114"/>
      <c r="G247" s="114"/>
      <c r="H247" s="114"/>
      <c r="I247" s="114"/>
      <c r="J247" s="114"/>
      <c r="K247" s="154"/>
      <c r="L247" s="114"/>
      <c r="M247" s="114"/>
    </row>
    <row r="248" spans="1:62" x14ac:dyDescent="0.2">
      <c r="A248" s="18" t="s">
        <v>227</v>
      </c>
      <c r="B248" s="18" t="s">
        <v>7</v>
      </c>
      <c r="C248" s="18" t="s">
        <v>438</v>
      </c>
      <c r="D248" s="111" t="s">
        <v>741</v>
      </c>
      <c r="E248" s="112"/>
      <c r="F248" s="112"/>
      <c r="G248" s="112"/>
      <c r="H248" s="112"/>
      <c r="I248" s="18" t="s">
        <v>787</v>
      </c>
      <c r="J248" s="26">
        <v>354.94400000000002</v>
      </c>
      <c r="K248" s="69">
        <v>0</v>
      </c>
      <c r="L248" s="26">
        <f>J248*K248</f>
        <v>0</v>
      </c>
      <c r="M248" s="32" t="s">
        <v>874</v>
      </c>
      <c r="Z248" s="12">
        <f>IF(AQ248="5",BJ248,0)</f>
        <v>0</v>
      </c>
      <c r="AB248" s="12">
        <f>IF(AQ248="1",BH248,0)</f>
        <v>0</v>
      </c>
      <c r="AC248" s="12">
        <f>IF(AQ248="1",BI248,0)</f>
        <v>0</v>
      </c>
      <c r="AD248" s="12">
        <f>IF(AQ248="7",BH248,0)</f>
        <v>0</v>
      </c>
      <c r="AE248" s="12">
        <f>IF(AQ248="7",BI248,0)</f>
        <v>0</v>
      </c>
      <c r="AF248" s="12">
        <f>IF(AQ248="2",BH248,0)</f>
        <v>0</v>
      </c>
      <c r="AG248" s="12">
        <f>IF(AQ248="2",BI248,0)</f>
        <v>0</v>
      </c>
      <c r="AH248" s="12">
        <f>IF(AQ248="0",BJ248,0)</f>
        <v>0</v>
      </c>
      <c r="AI248" s="27" t="s">
        <v>7</v>
      </c>
      <c r="AJ248" s="26">
        <f>IF(AN248=0,L248,0)</f>
        <v>0</v>
      </c>
      <c r="AK248" s="26">
        <f>IF(AN248=15,L248,0)</f>
        <v>0</v>
      </c>
      <c r="AL248" s="26">
        <f>IF(AN248=21,L248,0)</f>
        <v>0</v>
      </c>
      <c r="AN248" s="12">
        <v>21</v>
      </c>
      <c r="AO248" s="12">
        <f>K248*0.167975779344861</f>
        <v>0</v>
      </c>
      <c r="AP248" s="12">
        <f>K248*(1-0.167975779344861)</f>
        <v>0</v>
      </c>
      <c r="AQ248" s="32" t="s">
        <v>91</v>
      </c>
      <c r="AV248" s="12">
        <f>AW248+AX248</f>
        <v>0</v>
      </c>
      <c r="AW248" s="12">
        <f>J248*AO248</f>
        <v>0</v>
      </c>
      <c r="AX248" s="12">
        <f>J248*AP248</f>
        <v>0</v>
      </c>
      <c r="AY248" s="78" t="s">
        <v>905</v>
      </c>
      <c r="AZ248" s="78" t="s">
        <v>921</v>
      </c>
      <c r="BA248" s="27" t="s">
        <v>928</v>
      </c>
      <c r="BC248" s="12">
        <f>AW248+AX248</f>
        <v>0</v>
      </c>
      <c r="BD248" s="12">
        <f>K248/(100-BE248)*100</f>
        <v>0</v>
      </c>
      <c r="BE248" s="12">
        <v>0</v>
      </c>
      <c r="BF248" s="12">
        <f>248</f>
        <v>248</v>
      </c>
      <c r="BH248" s="26">
        <f>J248*AO248</f>
        <v>0</v>
      </c>
      <c r="BI248" s="26">
        <f>J248*AP248</f>
        <v>0</v>
      </c>
      <c r="BJ248" s="26">
        <f>J248*K248</f>
        <v>0</v>
      </c>
    </row>
    <row r="249" spans="1:62" x14ac:dyDescent="0.2">
      <c r="A249" s="18" t="s">
        <v>228</v>
      </c>
      <c r="B249" s="18" t="s">
        <v>7</v>
      </c>
      <c r="C249" s="18" t="s">
        <v>439</v>
      </c>
      <c r="D249" s="111" t="s">
        <v>743</v>
      </c>
      <c r="E249" s="112"/>
      <c r="F249" s="112"/>
      <c r="G249" s="112"/>
      <c r="H249" s="112"/>
      <c r="I249" s="18" t="s">
        <v>787</v>
      </c>
      <c r="J249" s="26">
        <v>789.6</v>
      </c>
      <c r="K249" s="69">
        <v>0</v>
      </c>
      <c r="L249" s="26">
        <f>J249*K249</f>
        <v>0</v>
      </c>
      <c r="M249" s="32" t="s">
        <v>874</v>
      </c>
      <c r="Z249" s="12">
        <f>IF(AQ249="5",BJ249,0)</f>
        <v>0</v>
      </c>
      <c r="AB249" s="12">
        <f>IF(AQ249="1",BH249,0)</f>
        <v>0</v>
      </c>
      <c r="AC249" s="12">
        <f>IF(AQ249="1",BI249,0)</f>
        <v>0</v>
      </c>
      <c r="AD249" s="12">
        <f>IF(AQ249="7",BH249,0)</f>
        <v>0</v>
      </c>
      <c r="AE249" s="12">
        <f>IF(AQ249="7",BI249,0)</f>
        <v>0</v>
      </c>
      <c r="AF249" s="12">
        <f>IF(AQ249="2",BH249,0)</f>
        <v>0</v>
      </c>
      <c r="AG249" s="12">
        <f>IF(AQ249="2",BI249,0)</f>
        <v>0</v>
      </c>
      <c r="AH249" s="12">
        <f>IF(AQ249="0",BJ249,0)</f>
        <v>0</v>
      </c>
      <c r="AI249" s="27" t="s">
        <v>7</v>
      </c>
      <c r="AJ249" s="26">
        <f>IF(AN249=0,L249,0)</f>
        <v>0</v>
      </c>
      <c r="AK249" s="26">
        <f>IF(AN249=15,L249,0)</f>
        <v>0</v>
      </c>
      <c r="AL249" s="26">
        <f>IF(AN249=21,L249,0)</f>
        <v>0</v>
      </c>
      <c r="AN249" s="12">
        <v>21</v>
      </c>
      <c r="AO249" s="12">
        <f>K249*0.189761092150171</f>
        <v>0</v>
      </c>
      <c r="AP249" s="12">
        <f>K249*(1-0.189761092150171)</f>
        <v>0</v>
      </c>
      <c r="AQ249" s="32" t="s">
        <v>91</v>
      </c>
      <c r="AV249" s="12">
        <f>AW249+AX249</f>
        <v>0</v>
      </c>
      <c r="AW249" s="12">
        <f>J249*AO249</f>
        <v>0</v>
      </c>
      <c r="AX249" s="12">
        <f>J249*AP249</f>
        <v>0</v>
      </c>
      <c r="AY249" s="78" t="s">
        <v>905</v>
      </c>
      <c r="AZ249" s="78" t="s">
        <v>921</v>
      </c>
      <c r="BA249" s="27" t="s">
        <v>928</v>
      </c>
      <c r="BC249" s="12">
        <f>AW249+AX249</f>
        <v>0</v>
      </c>
      <c r="BD249" s="12">
        <f>K249/(100-BE249)*100</f>
        <v>0</v>
      </c>
      <c r="BE249" s="12">
        <v>0</v>
      </c>
      <c r="BF249" s="12">
        <f>249</f>
        <v>249</v>
      </c>
      <c r="BH249" s="26">
        <f>J249*AO249</f>
        <v>0</v>
      </c>
      <c r="BI249" s="26">
        <f>J249*AP249</f>
        <v>0</v>
      </c>
      <c r="BJ249" s="26">
        <f>J249*K249</f>
        <v>0</v>
      </c>
    </row>
    <row r="250" spans="1:62" x14ac:dyDescent="0.2">
      <c r="A250" s="20" t="s">
        <v>229</v>
      </c>
      <c r="B250" s="20" t="s">
        <v>7</v>
      </c>
      <c r="C250" s="20" t="s">
        <v>440</v>
      </c>
      <c r="D250" s="121" t="s">
        <v>745</v>
      </c>
      <c r="E250" s="122"/>
      <c r="F250" s="122"/>
      <c r="G250" s="122"/>
      <c r="H250" s="122"/>
      <c r="I250" s="20" t="s">
        <v>786</v>
      </c>
      <c r="J250" s="29">
        <v>1.2589999999999999</v>
      </c>
      <c r="K250" s="70">
        <v>0</v>
      </c>
      <c r="L250" s="29">
        <f>J250*K250</f>
        <v>0</v>
      </c>
      <c r="M250" s="33" t="s">
        <v>874</v>
      </c>
      <c r="Z250" s="12">
        <f>IF(AQ250="5",BJ250,0)</f>
        <v>0</v>
      </c>
      <c r="AB250" s="12">
        <f>IF(AQ250="1",BH250,0)</f>
        <v>0</v>
      </c>
      <c r="AC250" s="12">
        <f>IF(AQ250="1",BI250,0)</f>
        <v>0</v>
      </c>
      <c r="AD250" s="12">
        <f>IF(AQ250="7",BH250,0)</f>
        <v>0</v>
      </c>
      <c r="AE250" s="12">
        <f>IF(AQ250="7",BI250,0)</f>
        <v>0</v>
      </c>
      <c r="AF250" s="12">
        <f>IF(AQ250="2",BH250,0)</f>
        <v>0</v>
      </c>
      <c r="AG250" s="12">
        <f>IF(AQ250="2",BI250,0)</f>
        <v>0</v>
      </c>
      <c r="AH250" s="12">
        <f>IF(AQ250="0",BJ250,0)</f>
        <v>0</v>
      </c>
      <c r="AI250" s="27" t="s">
        <v>7</v>
      </c>
      <c r="AJ250" s="29">
        <f>IF(AN250=0,L250,0)</f>
        <v>0</v>
      </c>
      <c r="AK250" s="29">
        <f>IF(AN250=15,L250,0)</f>
        <v>0</v>
      </c>
      <c r="AL250" s="29">
        <f>IF(AN250=21,L250,0)</f>
        <v>0</v>
      </c>
      <c r="AN250" s="12">
        <v>21</v>
      </c>
      <c r="AO250" s="12">
        <f>K250*1</f>
        <v>0</v>
      </c>
      <c r="AP250" s="12">
        <f>K250*(1-1)</f>
        <v>0</v>
      </c>
      <c r="AQ250" s="33" t="s">
        <v>91</v>
      </c>
      <c r="AV250" s="12">
        <f>AW250+AX250</f>
        <v>0</v>
      </c>
      <c r="AW250" s="12">
        <f>J250*AO250</f>
        <v>0</v>
      </c>
      <c r="AX250" s="12">
        <f>J250*AP250</f>
        <v>0</v>
      </c>
      <c r="AY250" s="78" t="s">
        <v>905</v>
      </c>
      <c r="AZ250" s="78" t="s">
        <v>921</v>
      </c>
      <c r="BA250" s="27" t="s">
        <v>928</v>
      </c>
      <c r="BC250" s="12">
        <f>AW250+AX250</f>
        <v>0</v>
      </c>
      <c r="BD250" s="12">
        <f>K250/(100-BE250)*100</f>
        <v>0</v>
      </c>
      <c r="BE250" s="12">
        <v>0</v>
      </c>
      <c r="BF250" s="12">
        <f>250</f>
        <v>250</v>
      </c>
      <c r="BH250" s="29">
        <f>J250*AO250</f>
        <v>0</v>
      </c>
      <c r="BI250" s="29">
        <f>J250*AP250</f>
        <v>0</v>
      </c>
      <c r="BJ250" s="29">
        <f>J250*K250</f>
        <v>0</v>
      </c>
    </row>
    <row r="251" spans="1:62" ht="25.7" customHeight="1" x14ac:dyDescent="0.2">
      <c r="C251" s="62" t="s">
        <v>296</v>
      </c>
      <c r="D251" s="113" t="s">
        <v>748</v>
      </c>
      <c r="E251" s="114"/>
      <c r="F251" s="114"/>
      <c r="G251" s="114"/>
      <c r="H251" s="114"/>
      <c r="I251" s="114"/>
      <c r="J251" s="114"/>
      <c r="K251" s="154"/>
      <c r="L251" s="114"/>
      <c r="M251" s="114"/>
    </row>
    <row r="252" spans="1:62" x14ac:dyDescent="0.2">
      <c r="A252" s="18" t="s">
        <v>230</v>
      </c>
      <c r="B252" s="18" t="s">
        <v>7</v>
      </c>
      <c r="C252" s="18" t="s">
        <v>441</v>
      </c>
      <c r="D252" s="111" t="s">
        <v>749</v>
      </c>
      <c r="E252" s="112"/>
      <c r="F252" s="112"/>
      <c r="G252" s="112"/>
      <c r="H252" s="112"/>
      <c r="I252" s="18" t="s">
        <v>790</v>
      </c>
      <c r="J252" s="26">
        <v>2272.7516000000001</v>
      </c>
      <c r="K252" s="69">
        <v>0</v>
      </c>
      <c r="L252" s="26">
        <f>J252*K252</f>
        <v>0</v>
      </c>
      <c r="M252" s="32" t="s">
        <v>874</v>
      </c>
      <c r="Z252" s="12">
        <f>IF(AQ252="5",BJ252,0)</f>
        <v>0</v>
      </c>
      <c r="AB252" s="12">
        <f>IF(AQ252="1",BH252,0)</f>
        <v>0</v>
      </c>
      <c r="AC252" s="12">
        <f>IF(AQ252="1",BI252,0)</f>
        <v>0</v>
      </c>
      <c r="AD252" s="12">
        <f>IF(AQ252="7",BH252,0)</f>
        <v>0</v>
      </c>
      <c r="AE252" s="12">
        <f>IF(AQ252="7",BI252,0)</f>
        <v>0</v>
      </c>
      <c r="AF252" s="12">
        <f>IF(AQ252="2",BH252,0)</f>
        <v>0</v>
      </c>
      <c r="AG252" s="12">
        <f>IF(AQ252="2",BI252,0)</f>
        <v>0</v>
      </c>
      <c r="AH252" s="12">
        <f>IF(AQ252="0",BJ252,0)</f>
        <v>0</v>
      </c>
      <c r="AI252" s="27" t="s">
        <v>7</v>
      </c>
      <c r="AJ252" s="26">
        <f>IF(AN252=0,L252,0)</f>
        <v>0</v>
      </c>
      <c r="AK252" s="26">
        <f>IF(AN252=15,L252,0)</f>
        <v>0</v>
      </c>
      <c r="AL252" s="26">
        <f>IF(AN252=21,L252,0)</f>
        <v>0</v>
      </c>
      <c r="AN252" s="12">
        <v>21</v>
      </c>
      <c r="AO252" s="12">
        <f>K252*0</f>
        <v>0</v>
      </c>
      <c r="AP252" s="12">
        <f>K252*(1-0)</f>
        <v>0</v>
      </c>
      <c r="AQ252" s="32" t="s">
        <v>89</v>
      </c>
      <c r="AV252" s="12">
        <f>AW252+AX252</f>
        <v>0</v>
      </c>
      <c r="AW252" s="12">
        <f>J252*AO252</f>
        <v>0</v>
      </c>
      <c r="AX252" s="12">
        <f>J252*AP252</f>
        <v>0</v>
      </c>
      <c r="AY252" s="78" t="s">
        <v>905</v>
      </c>
      <c r="AZ252" s="78" t="s">
        <v>921</v>
      </c>
      <c r="BA252" s="27" t="s">
        <v>928</v>
      </c>
      <c r="BC252" s="12">
        <f>AW252+AX252</f>
        <v>0</v>
      </c>
      <c r="BD252" s="12">
        <f>K252/(100-BE252)*100</f>
        <v>0</v>
      </c>
      <c r="BE252" s="12">
        <v>0</v>
      </c>
      <c r="BF252" s="12">
        <f>252</f>
        <v>252</v>
      </c>
      <c r="BH252" s="26">
        <f>J252*AO252</f>
        <v>0</v>
      </c>
      <c r="BI252" s="26">
        <f>J252*AP252</f>
        <v>0</v>
      </c>
      <c r="BJ252" s="26">
        <f>J252*K252</f>
        <v>0</v>
      </c>
    </row>
    <row r="253" spans="1:62" x14ac:dyDescent="0.2">
      <c r="A253" s="54"/>
      <c r="B253" s="19" t="s">
        <v>7</v>
      </c>
      <c r="C253" s="19" t="s">
        <v>32</v>
      </c>
      <c r="D253" s="117" t="s">
        <v>61</v>
      </c>
      <c r="E253" s="118"/>
      <c r="F253" s="118"/>
      <c r="G253" s="118"/>
      <c r="H253" s="118"/>
      <c r="I253" s="54" t="s">
        <v>5</v>
      </c>
      <c r="J253" s="54" t="s">
        <v>5</v>
      </c>
      <c r="K253" s="68" t="s">
        <v>5</v>
      </c>
      <c r="L253" s="80">
        <f>SUM(L254:L256)</f>
        <v>0</v>
      </c>
      <c r="M253" s="27"/>
      <c r="AI253" s="27" t="s">
        <v>7</v>
      </c>
      <c r="AS253" s="80">
        <f>SUM(AJ254:AJ256)</f>
        <v>0</v>
      </c>
      <c r="AT253" s="80">
        <f>SUM(AK254:AK256)</f>
        <v>0</v>
      </c>
      <c r="AU253" s="80">
        <f>SUM(AL254:AL256)</f>
        <v>0</v>
      </c>
    </row>
    <row r="254" spans="1:62" x14ac:dyDescent="0.2">
      <c r="A254" s="18" t="s">
        <v>231</v>
      </c>
      <c r="B254" s="18" t="s">
        <v>7</v>
      </c>
      <c r="C254" s="18" t="s">
        <v>442</v>
      </c>
      <c r="D254" s="111" t="s">
        <v>750</v>
      </c>
      <c r="E254" s="112"/>
      <c r="F254" s="112"/>
      <c r="G254" s="112"/>
      <c r="H254" s="112"/>
      <c r="I254" s="18" t="s">
        <v>783</v>
      </c>
      <c r="J254" s="26">
        <v>153.9956</v>
      </c>
      <c r="K254" s="69">
        <v>0</v>
      </c>
      <c r="L254" s="26">
        <f>J254*K254</f>
        <v>0</v>
      </c>
      <c r="M254" s="32" t="s">
        <v>874</v>
      </c>
      <c r="Z254" s="12">
        <f>IF(AQ254="5",BJ254,0)</f>
        <v>0</v>
      </c>
      <c r="AB254" s="12">
        <f>IF(AQ254="1",BH254,0)</f>
        <v>0</v>
      </c>
      <c r="AC254" s="12">
        <f>IF(AQ254="1",BI254,0)</f>
        <v>0</v>
      </c>
      <c r="AD254" s="12">
        <f>IF(AQ254="7",BH254,0)</f>
        <v>0</v>
      </c>
      <c r="AE254" s="12">
        <f>IF(AQ254="7",BI254,0)</f>
        <v>0</v>
      </c>
      <c r="AF254" s="12">
        <f>IF(AQ254="2",BH254,0)</f>
        <v>0</v>
      </c>
      <c r="AG254" s="12">
        <f>IF(AQ254="2",BI254,0)</f>
        <v>0</v>
      </c>
      <c r="AH254" s="12">
        <f>IF(AQ254="0",BJ254,0)</f>
        <v>0</v>
      </c>
      <c r="AI254" s="27" t="s">
        <v>7</v>
      </c>
      <c r="AJ254" s="26">
        <f>IF(AN254=0,L254,0)</f>
        <v>0</v>
      </c>
      <c r="AK254" s="26">
        <f>IF(AN254=15,L254,0)</f>
        <v>0</v>
      </c>
      <c r="AL254" s="26">
        <f>IF(AN254=21,L254,0)</f>
        <v>0</v>
      </c>
      <c r="AN254" s="12">
        <v>21</v>
      </c>
      <c r="AO254" s="12">
        <f>K254*0.320137826537507</f>
        <v>0</v>
      </c>
      <c r="AP254" s="12">
        <f>K254*(1-0.320137826537507)</f>
        <v>0</v>
      </c>
      <c r="AQ254" s="32" t="s">
        <v>91</v>
      </c>
      <c r="AV254" s="12">
        <f>AW254+AX254</f>
        <v>0</v>
      </c>
      <c r="AW254" s="12">
        <f>J254*AO254</f>
        <v>0</v>
      </c>
      <c r="AX254" s="12">
        <f>J254*AP254</f>
        <v>0</v>
      </c>
      <c r="AY254" s="78" t="s">
        <v>906</v>
      </c>
      <c r="AZ254" s="78" t="s">
        <v>922</v>
      </c>
      <c r="BA254" s="27" t="s">
        <v>928</v>
      </c>
      <c r="BC254" s="12">
        <f>AW254+AX254</f>
        <v>0</v>
      </c>
      <c r="BD254" s="12">
        <f>K254/(100-BE254)*100</f>
        <v>0</v>
      </c>
      <c r="BE254" s="12">
        <v>0</v>
      </c>
      <c r="BF254" s="12">
        <f>254</f>
        <v>254</v>
      </c>
      <c r="BH254" s="26">
        <f>J254*AO254</f>
        <v>0</v>
      </c>
      <c r="BI254" s="26">
        <f>J254*AP254</f>
        <v>0</v>
      </c>
      <c r="BJ254" s="26">
        <f>J254*K254</f>
        <v>0</v>
      </c>
    </row>
    <row r="255" spans="1:62" ht="25.7" customHeight="1" x14ac:dyDescent="0.2">
      <c r="C255" s="62" t="s">
        <v>296</v>
      </c>
      <c r="D255" s="113" t="s">
        <v>751</v>
      </c>
      <c r="E255" s="114"/>
      <c r="F255" s="114"/>
      <c r="G255" s="114"/>
      <c r="H255" s="114"/>
      <c r="I255" s="114"/>
      <c r="J255" s="114"/>
      <c r="K255" s="154"/>
      <c r="L255" s="114"/>
      <c r="M255" s="114"/>
    </row>
    <row r="256" spans="1:62" x14ac:dyDescent="0.2">
      <c r="A256" s="18" t="s">
        <v>232</v>
      </c>
      <c r="B256" s="18" t="s">
        <v>7</v>
      </c>
      <c r="C256" s="18" t="s">
        <v>443</v>
      </c>
      <c r="D256" s="111" t="s">
        <v>752</v>
      </c>
      <c r="E256" s="112"/>
      <c r="F256" s="112"/>
      <c r="G256" s="112"/>
      <c r="H256" s="112"/>
      <c r="I256" s="18" t="s">
        <v>783</v>
      </c>
      <c r="J256" s="26">
        <v>24.638400000000001</v>
      </c>
      <c r="K256" s="69">
        <v>0</v>
      </c>
      <c r="L256" s="26">
        <f>J256*K256</f>
        <v>0</v>
      </c>
      <c r="M256" s="32" t="s">
        <v>874</v>
      </c>
      <c r="Z256" s="12">
        <f>IF(AQ256="5",BJ256,0)</f>
        <v>0</v>
      </c>
      <c r="AB256" s="12">
        <f>IF(AQ256="1",BH256,0)</f>
        <v>0</v>
      </c>
      <c r="AC256" s="12">
        <f>IF(AQ256="1",BI256,0)</f>
        <v>0</v>
      </c>
      <c r="AD256" s="12">
        <f>IF(AQ256="7",BH256,0)</f>
        <v>0</v>
      </c>
      <c r="AE256" s="12">
        <f>IF(AQ256="7",BI256,0)</f>
        <v>0</v>
      </c>
      <c r="AF256" s="12">
        <f>IF(AQ256="2",BH256,0)</f>
        <v>0</v>
      </c>
      <c r="AG256" s="12">
        <f>IF(AQ256="2",BI256,0)</f>
        <v>0</v>
      </c>
      <c r="AH256" s="12">
        <f>IF(AQ256="0",BJ256,0)</f>
        <v>0</v>
      </c>
      <c r="AI256" s="27" t="s">
        <v>7</v>
      </c>
      <c r="AJ256" s="26">
        <f>IF(AN256=0,L256,0)</f>
        <v>0</v>
      </c>
      <c r="AK256" s="26">
        <f>IF(AN256=15,L256,0)</f>
        <v>0</v>
      </c>
      <c r="AL256" s="26">
        <f>IF(AN256=21,L256,0)</f>
        <v>0</v>
      </c>
      <c r="AN256" s="12">
        <v>21</v>
      </c>
      <c r="AO256" s="12">
        <f>K256*0.337688552408302</f>
        <v>0</v>
      </c>
      <c r="AP256" s="12">
        <f>K256*(1-0.337688552408302)</f>
        <v>0</v>
      </c>
      <c r="AQ256" s="32" t="s">
        <v>91</v>
      </c>
      <c r="AV256" s="12">
        <f>AW256+AX256</f>
        <v>0</v>
      </c>
      <c r="AW256" s="12">
        <f>J256*AO256</f>
        <v>0</v>
      </c>
      <c r="AX256" s="12">
        <f>J256*AP256</f>
        <v>0</v>
      </c>
      <c r="AY256" s="78" t="s">
        <v>906</v>
      </c>
      <c r="AZ256" s="78" t="s">
        <v>922</v>
      </c>
      <c r="BA256" s="27" t="s">
        <v>928</v>
      </c>
      <c r="BC256" s="12">
        <f>AW256+AX256</f>
        <v>0</v>
      </c>
      <c r="BD256" s="12">
        <f>K256/(100-BE256)*100</f>
        <v>0</v>
      </c>
      <c r="BE256" s="12">
        <v>0</v>
      </c>
      <c r="BF256" s="12">
        <f>256</f>
        <v>256</v>
      </c>
      <c r="BH256" s="26">
        <f>J256*AO256</f>
        <v>0</v>
      </c>
      <c r="BI256" s="26">
        <f>J256*AP256</f>
        <v>0</v>
      </c>
      <c r="BJ256" s="26">
        <f>J256*K256</f>
        <v>0</v>
      </c>
    </row>
    <row r="257" spans="1:62" x14ac:dyDescent="0.2">
      <c r="D257" s="157" t="s">
        <v>861</v>
      </c>
      <c r="E257" s="158"/>
      <c r="F257" s="158"/>
      <c r="G257" s="158"/>
      <c r="H257" s="158"/>
      <c r="K257" s="71"/>
    </row>
    <row r="258" spans="1:62" x14ac:dyDescent="0.2">
      <c r="A258" s="54"/>
      <c r="B258" s="19" t="s">
        <v>7</v>
      </c>
      <c r="C258" s="19" t="s">
        <v>33</v>
      </c>
      <c r="D258" s="117" t="s">
        <v>62</v>
      </c>
      <c r="E258" s="118"/>
      <c r="F258" s="118"/>
      <c r="G258" s="118"/>
      <c r="H258" s="118"/>
      <c r="I258" s="54" t="s">
        <v>5</v>
      </c>
      <c r="J258" s="54" t="s">
        <v>5</v>
      </c>
      <c r="K258" s="68" t="s">
        <v>5</v>
      </c>
      <c r="L258" s="80">
        <f>SUM(L259:L261)</f>
        <v>0</v>
      </c>
      <c r="M258" s="27"/>
      <c r="AI258" s="27" t="s">
        <v>7</v>
      </c>
      <c r="AS258" s="80">
        <f>SUM(AJ259:AJ261)</f>
        <v>0</v>
      </c>
      <c r="AT258" s="80">
        <f>SUM(AK259:AK261)</f>
        <v>0</v>
      </c>
      <c r="AU258" s="80">
        <f>SUM(AL259:AL261)</f>
        <v>0</v>
      </c>
    </row>
    <row r="259" spans="1:62" x14ac:dyDescent="0.2">
      <c r="A259" s="18" t="s">
        <v>233</v>
      </c>
      <c r="B259" s="18" t="s">
        <v>7</v>
      </c>
      <c r="C259" s="18" t="s">
        <v>444</v>
      </c>
      <c r="D259" s="111" t="s">
        <v>757</v>
      </c>
      <c r="E259" s="112"/>
      <c r="F259" s="112"/>
      <c r="G259" s="112"/>
      <c r="H259" s="112"/>
      <c r="I259" s="18" t="s">
        <v>784</v>
      </c>
      <c r="J259" s="26">
        <v>5</v>
      </c>
      <c r="K259" s="69">
        <v>0</v>
      </c>
      <c r="L259" s="26">
        <f>J259*K259</f>
        <v>0</v>
      </c>
      <c r="M259" s="32" t="s">
        <v>874</v>
      </c>
      <c r="Z259" s="12">
        <f>IF(AQ259="5",BJ259,0)</f>
        <v>0</v>
      </c>
      <c r="AB259" s="12">
        <f>IF(AQ259="1",BH259,0)</f>
        <v>0</v>
      </c>
      <c r="AC259" s="12">
        <f>IF(AQ259="1",BI259,0)</f>
        <v>0</v>
      </c>
      <c r="AD259" s="12">
        <f>IF(AQ259="7",BH259,0)</f>
        <v>0</v>
      </c>
      <c r="AE259" s="12">
        <f>IF(AQ259="7",BI259,0)</f>
        <v>0</v>
      </c>
      <c r="AF259" s="12">
        <f>IF(AQ259="2",BH259,0)</f>
        <v>0</v>
      </c>
      <c r="AG259" s="12">
        <f>IF(AQ259="2",BI259,0)</f>
        <v>0</v>
      </c>
      <c r="AH259" s="12">
        <f>IF(AQ259="0",BJ259,0)</f>
        <v>0</v>
      </c>
      <c r="AI259" s="27" t="s">
        <v>7</v>
      </c>
      <c r="AJ259" s="26">
        <f>IF(AN259=0,L259,0)</f>
        <v>0</v>
      </c>
      <c r="AK259" s="26">
        <f>IF(AN259=15,L259,0)</f>
        <v>0</v>
      </c>
      <c r="AL259" s="26">
        <f>IF(AN259=21,L259,0)</f>
        <v>0</v>
      </c>
      <c r="AN259" s="12">
        <v>21</v>
      </c>
      <c r="AO259" s="12">
        <f>K259*0.319088172043011</f>
        <v>0</v>
      </c>
      <c r="AP259" s="12">
        <f>K259*(1-0.319088172043011)</f>
        <v>0</v>
      </c>
      <c r="AQ259" s="32" t="s">
        <v>85</v>
      </c>
      <c r="AV259" s="12">
        <f>AW259+AX259</f>
        <v>0</v>
      </c>
      <c r="AW259" s="12">
        <f>J259*AO259</f>
        <v>0</v>
      </c>
      <c r="AX259" s="12">
        <f>J259*AP259</f>
        <v>0</v>
      </c>
      <c r="AY259" s="78" t="s">
        <v>907</v>
      </c>
      <c r="AZ259" s="78" t="s">
        <v>923</v>
      </c>
      <c r="BA259" s="27" t="s">
        <v>928</v>
      </c>
      <c r="BC259" s="12">
        <f>AW259+AX259</f>
        <v>0</v>
      </c>
      <c r="BD259" s="12">
        <f>K259/(100-BE259)*100</f>
        <v>0</v>
      </c>
      <c r="BE259" s="12">
        <v>0</v>
      </c>
      <c r="BF259" s="12">
        <f>259</f>
        <v>259</v>
      </c>
      <c r="BH259" s="26">
        <f>J259*AO259</f>
        <v>0</v>
      </c>
      <c r="BI259" s="26">
        <f>J259*AP259</f>
        <v>0</v>
      </c>
      <c r="BJ259" s="26">
        <f>J259*K259</f>
        <v>0</v>
      </c>
    </row>
    <row r="260" spans="1:62" x14ac:dyDescent="0.2">
      <c r="A260" s="18" t="s">
        <v>234</v>
      </c>
      <c r="B260" s="18" t="s">
        <v>7</v>
      </c>
      <c r="C260" s="18" t="s">
        <v>445</v>
      </c>
      <c r="D260" s="111" t="s">
        <v>758</v>
      </c>
      <c r="E260" s="112"/>
      <c r="F260" s="112"/>
      <c r="G260" s="112"/>
      <c r="H260" s="112"/>
      <c r="I260" s="18" t="s">
        <v>784</v>
      </c>
      <c r="J260" s="26">
        <v>1</v>
      </c>
      <c r="K260" s="69">
        <v>0</v>
      </c>
      <c r="L260" s="26">
        <f>J260*K260</f>
        <v>0</v>
      </c>
      <c r="M260" s="32" t="s">
        <v>874</v>
      </c>
      <c r="Z260" s="12">
        <f>IF(AQ260="5",BJ260,0)</f>
        <v>0</v>
      </c>
      <c r="AB260" s="12">
        <f>IF(AQ260="1",BH260,0)</f>
        <v>0</v>
      </c>
      <c r="AC260" s="12">
        <f>IF(AQ260="1",BI260,0)</f>
        <v>0</v>
      </c>
      <c r="AD260" s="12">
        <f>IF(AQ260="7",BH260,0)</f>
        <v>0</v>
      </c>
      <c r="AE260" s="12">
        <f>IF(AQ260="7",BI260,0)</f>
        <v>0</v>
      </c>
      <c r="AF260" s="12">
        <f>IF(AQ260="2",BH260,0)</f>
        <v>0</v>
      </c>
      <c r="AG260" s="12">
        <f>IF(AQ260="2",BI260,0)</f>
        <v>0</v>
      </c>
      <c r="AH260" s="12">
        <f>IF(AQ260="0",BJ260,0)</f>
        <v>0</v>
      </c>
      <c r="AI260" s="27" t="s">
        <v>7</v>
      </c>
      <c r="AJ260" s="26">
        <f>IF(AN260=0,L260,0)</f>
        <v>0</v>
      </c>
      <c r="AK260" s="26">
        <f>IF(AN260=15,L260,0)</f>
        <v>0</v>
      </c>
      <c r="AL260" s="26">
        <f>IF(AN260=21,L260,0)</f>
        <v>0</v>
      </c>
      <c r="AN260" s="12">
        <v>21</v>
      </c>
      <c r="AO260" s="12">
        <f>K260*0.369125714285714</f>
        <v>0</v>
      </c>
      <c r="AP260" s="12">
        <f>K260*(1-0.369125714285714)</f>
        <v>0</v>
      </c>
      <c r="AQ260" s="32" t="s">
        <v>85</v>
      </c>
      <c r="AV260" s="12">
        <f>AW260+AX260</f>
        <v>0</v>
      </c>
      <c r="AW260" s="12">
        <f>J260*AO260</f>
        <v>0</v>
      </c>
      <c r="AX260" s="12">
        <f>J260*AP260</f>
        <v>0</v>
      </c>
      <c r="AY260" s="78" t="s">
        <v>907</v>
      </c>
      <c r="AZ260" s="78" t="s">
        <v>923</v>
      </c>
      <c r="BA260" s="27" t="s">
        <v>928</v>
      </c>
      <c r="BC260" s="12">
        <f>AW260+AX260</f>
        <v>0</v>
      </c>
      <c r="BD260" s="12">
        <f>K260/(100-BE260)*100</f>
        <v>0</v>
      </c>
      <c r="BE260" s="12">
        <v>0</v>
      </c>
      <c r="BF260" s="12">
        <f>260</f>
        <v>260</v>
      </c>
      <c r="BH260" s="26">
        <f>J260*AO260</f>
        <v>0</v>
      </c>
      <c r="BI260" s="26">
        <f>J260*AP260</f>
        <v>0</v>
      </c>
      <c r="BJ260" s="26">
        <f>J260*K260</f>
        <v>0</v>
      </c>
    </row>
    <row r="261" spans="1:62" x14ac:dyDescent="0.2">
      <c r="A261" s="18" t="s">
        <v>235</v>
      </c>
      <c r="B261" s="18" t="s">
        <v>7</v>
      </c>
      <c r="C261" s="18" t="s">
        <v>446</v>
      </c>
      <c r="D261" s="111" t="s">
        <v>759</v>
      </c>
      <c r="E261" s="112"/>
      <c r="F261" s="112"/>
      <c r="G261" s="112"/>
      <c r="H261" s="112"/>
      <c r="I261" s="18" t="s">
        <v>784</v>
      </c>
      <c r="J261" s="26">
        <v>1</v>
      </c>
      <c r="K261" s="69">
        <v>0</v>
      </c>
      <c r="L261" s="26">
        <f>J261*K261</f>
        <v>0</v>
      </c>
      <c r="M261" s="32" t="s">
        <v>874</v>
      </c>
      <c r="Z261" s="12">
        <f>IF(AQ261="5",BJ261,0)</f>
        <v>0</v>
      </c>
      <c r="AB261" s="12">
        <f>IF(AQ261="1",BH261,0)</f>
        <v>0</v>
      </c>
      <c r="AC261" s="12">
        <f>IF(AQ261="1",BI261,0)</f>
        <v>0</v>
      </c>
      <c r="AD261" s="12">
        <f>IF(AQ261="7",BH261,0)</f>
        <v>0</v>
      </c>
      <c r="AE261" s="12">
        <f>IF(AQ261="7",BI261,0)</f>
        <v>0</v>
      </c>
      <c r="AF261" s="12">
        <f>IF(AQ261="2",BH261,0)</f>
        <v>0</v>
      </c>
      <c r="AG261" s="12">
        <f>IF(AQ261="2",BI261,0)</f>
        <v>0</v>
      </c>
      <c r="AH261" s="12">
        <f>IF(AQ261="0",BJ261,0)</f>
        <v>0</v>
      </c>
      <c r="AI261" s="27" t="s">
        <v>7</v>
      </c>
      <c r="AJ261" s="26">
        <f>IF(AN261=0,L261,0)</f>
        <v>0</v>
      </c>
      <c r="AK261" s="26">
        <f>IF(AN261=15,L261,0)</f>
        <v>0</v>
      </c>
      <c r="AL261" s="26">
        <f>IF(AN261=21,L261,0)</f>
        <v>0</v>
      </c>
      <c r="AN261" s="12">
        <v>21</v>
      </c>
      <c r="AO261" s="12">
        <f>K261*0.798718312711543</f>
        <v>0</v>
      </c>
      <c r="AP261" s="12">
        <f>K261*(1-0.798718312711543)</f>
        <v>0</v>
      </c>
      <c r="AQ261" s="32" t="s">
        <v>85</v>
      </c>
      <c r="AV261" s="12">
        <f>AW261+AX261</f>
        <v>0</v>
      </c>
      <c r="AW261" s="12">
        <f>J261*AO261</f>
        <v>0</v>
      </c>
      <c r="AX261" s="12">
        <f>J261*AP261</f>
        <v>0</v>
      </c>
      <c r="AY261" s="78" t="s">
        <v>907</v>
      </c>
      <c r="AZ261" s="78" t="s">
        <v>923</v>
      </c>
      <c r="BA261" s="27" t="s">
        <v>928</v>
      </c>
      <c r="BC261" s="12">
        <f>AW261+AX261</f>
        <v>0</v>
      </c>
      <c r="BD261" s="12">
        <f>K261/(100-BE261)*100</f>
        <v>0</v>
      </c>
      <c r="BE261" s="12">
        <v>0</v>
      </c>
      <c r="BF261" s="12">
        <f>261</f>
        <v>261</v>
      </c>
      <c r="BH261" s="26">
        <f>J261*AO261</f>
        <v>0</v>
      </c>
      <c r="BI261" s="26">
        <f>J261*AP261</f>
        <v>0</v>
      </c>
      <c r="BJ261" s="26">
        <f>J261*K261</f>
        <v>0</v>
      </c>
    </row>
    <row r="262" spans="1:62" x14ac:dyDescent="0.2">
      <c r="C262" s="62" t="s">
        <v>296</v>
      </c>
      <c r="D262" s="113" t="s">
        <v>760</v>
      </c>
      <c r="E262" s="114"/>
      <c r="F262" s="114"/>
      <c r="G262" s="114"/>
      <c r="H262" s="114"/>
      <c r="I262" s="114"/>
      <c r="J262" s="114"/>
      <c r="K262" s="154"/>
      <c r="L262" s="114"/>
      <c r="M262" s="114"/>
    </row>
    <row r="263" spans="1:62" x14ac:dyDescent="0.2">
      <c r="A263" s="54"/>
      <c r="B263" s="19" t="s">
        <v>7</v>
      </c>
      <c r="C263" s="19" t="s">
        <v>34</v>
      </c>
      <c r="D263" s="117" t="s">
        <v>63</v>
      </c>
      <c r="E263" s="118"/>
      <c r="F263" s="118"/>
      <c r="G263" s="118"/>
      <c r="H263" s="118"/>
      <c r="I263" s="54" t="s">
        <v>5</v>
      </c>
      <c r="J263" s="54" t="s">
        <v>5</v>
      </c>
      <c r="K263" s="68" t="s">
        <v>5</v>
      </c>
      <c r="L263" s="80">
        <f>SUM(L264:L268)</f>
        <v>0</v>
      </c>
      <c r="M263" s="27"/>
      <c r="AI263" s="27" t="s">
        <v>7</v>
      </c>
      <c r="AS263" s="80">
        <f>SUM(AJ264:AJ268)</f>
        <v>0</v>
      </c>
      <c r="AT263" s="80">
        <f>SUM(AK264:AK268)</f>
        <v>0</v>
      </c>
      <c r="AU263" s="80">
        <f>SUM(AL264:AL268)</f>
        <v>0</v>
      </c>
    </row>
    <row r="264" spans="1:62" x14ac:dyDescent="0.2">
      <c r="A264" s="18" t="s">
        <v>236</v>
      </c>
      <c r="B264" s="18" t="s">
        <v>7</v>
      </c>
      <c r="C264" s="18" t="s">
        <v>447</v>
      </c>
      <c r="D264" s="111" t="s">
        <v>761</v>
      </c>
      <c r="E264" s="112"/>
      <c r="F264" s="112"/>
      <c r="G264" s="112"/>
      <c r="H264" s="112"/>
      <c r="I264" s="18" t="s">
        <v>782</v>
      </c>
      <c r="J264" s="26">
        <v>187.5</v>
      </c>
      <c r="K264" s="69">
        <v>0</v>
      </c>
      <c r="L264" s="26">
        <f>J264*K264</f>
        <v>0</v>
      </c>
      <c r="M264" s="32" t="s">
        <v>874</v>
      </c>
      <c r="Z264" s="12">
        <f>IF(AQ264="5",BJ264,0)</f>
        <v>0</v>
      </c>
      <c r="AB264" s="12">
        <f>IF(AQ264="1",BH264,0)</f>
        <v>0</v>
      </c>
      <c r="AC264" s="12">
        <f>IF(AQ264="1",BI264,0)</f>
        <v>0</v>
      </c>
      <c r="AD264" s="12">
        <f>IF(AQ264="7",BH264,0)</f>
        <v>0</v>
      </c>
      <c r="AE264" s="12">
        <f>IF(AQ264="7",BI264,0)</f>
        <v>0</v>
      </c>
      <c r="AF264" s="12">
        <f>IF(AQ264="2",BH264,0)</f>
        <v>0</v>
      </c>
      <c r="AG264" s="12">
        <f>IF(AQ264="2",BI264,0)</f>
        <v>0</v>
      </c>
      <c r="AH264" s="12">
        <f>IF(AQ264="0",BJ264,0)</f>
        <v>0</v>
      </c>
      <c r="AI264" s="27" t="s">
        <v>7</v>
      </c>
      <c r="AJ264" s="26">
        <f>IF(AN264=0,L264,0)</f>
        <v>0</v>
      </c>
      <c r="AK264" s="26">
        <f>IF(AN264=15,L264,0)</f>
        <v>0</v>
      </c>
      <c r="AL264" s="26">
        <f>IF(AN264=21,L264,0)</f>
        <v>0</v>
      </c>
      <c r="AN264" s="12">
        <v>21</v>
      </c>
      <c r="AO264" s="12">
        <f>K264*0.682069857697283</f>
        <v>0</v>
      </c>
      <c r="AP264" s="12">
        <f>K264*(1-0.682069857697283)</f>
        <v>0</v>
      </c>
      <c r="AQ264" s="32" t="s">
        <v>85</v>
      </c>
      <c r="AV264" s="12">
        <f>AW264+AX264</f>
        <v>0</v>
      </c>
      <c r="AW264" s="12">
        <f>J264*AO264</f>
        <v>0</v>
      </c>
      <c r="AX264" s="12">
        <f>J264*AP264</f>
        <v>0</v>
      </c>
      <c r="AY264" s="78" t="s">
        <v>908</v>
      </c>
      <c r="AZ264" s="78" t="s">
        <v>924</v>
      </c>
      <c r="BA264" s="27" t="s">
        <v>928</v>
      </c>
      <c r="BC264" s="12">
        <f>AW264+AX264</f>
        <v>0</v>
      </c>
      <c r="BD264" s="12">
        <f>K264/(100-BE264)*100</f>
        <v>0</v>
      </c>
      <c r="BE264" s="12">
        <v>0</v>
      </c>
      <c r="BF264" s="12">
        <f>264</f>
        <v>264</v>
      </c>
      <c r="BH264" s="26">
        <f>J264*AO264</f>
        <v>0</v>
      </c>
      <c r="BI264" s="26">
        <f>J264*AP264</f>
        <v>0</v>
      </c>
      <c r="BJ264" s="26">
        <f>J264*K264</f>
        <v>0</v>
      </c>
    </row>
    <row r="265" spans="1:62" x14ac:dyDescent="0.2">
      <c r="D265" s="157" t="s">
        <v>862</v>
      </c>
      <c r="E265" s="158"/>
      <c r="F265" s="158"/>
      <c r="G265" s="158"/>
      <c r="H265" s="158"/>
      <c r="K265" s="71"/>
    </row>
    <row r="266" spans="1:62" x14ac:dyDescent="0.2">
      <c r="A266" s="18" t="s">
        <v>237</v>
      </c>
      <c r="B266" s="18" t="s">
        <v>7</v>
      </c>
      <c r="C266" s="18" t="s">
        <v>448</v>
      </c>
      <c r="D266" s="111" t="s">
        <v>762</v>
      </c>
      <c r="E266" s="112"/>
      <c r="F266" s="112"/>
      <c r="G266" s="112"/>
      <c r="H266" s="112"/>
      <c r="I266" s="18" t="s">
        <v>782</v>
      </c>
      <c r="J266" s="26">
        <v>295.85000000000002</v>
      </c>
      <c r="K266" s="69">
        <v>0</v>
      </c>
      <c r="L266" s="26">
        <f>J266*K266</f>
        <v>0</v>
      </c>
      <c r="M266" s="32" t="s">
        <v>874</v>
      </c>
      <c r="Z266" s="12">
        <f>IF(AQ266="5",BJ266,0)</f>
        <v>0</v>
      </c>
      <c r="AB266" s="12">
        <f>IF(AQ266="1",BH266,0)</f>
        <v>0</v>
      </c>
      <c r="AC266" s="12">
        <f>IF(AQ266="1",BI266,0)</f>
        <v>0</v>
      </c>
      <c r="AD266" s="12">
        <f>IF(AQ266="7",BH266,0)</f>
        <v>0</v>
      </c>
      <c r="AE266" s="12">
        <f>IF(AQ266="7",BI266,0)</f>
        <v>0</v>
      </c>
      <c r="AF266" s="12">
        <f>IF(AQ266="2",BH266,0)</f>
        <v>0</v>
      </c>
      <c r="AG266" s="12">
        <f>IF(AQ266="2",BI266,0)</f>
        <v>0</v>
      </c>
      <c r="AH266" s="12">
        <f>IF(AQ266="0",BJ266,0)</f>
        <v>0</v>
      </c>
      <c r="AI266" s="27" t="s">
        <v>7</v>
      </c>
      <c r="AJ266" s="26">
        <f>IF(AN266=0,L266,0)</f>
        <v>0</v>
      </c>
      <c r="AK266" s="26">
        <f>IF(AN266=15,L266,0)</f>
        <v>0</v>
      </c>
      <c r="AL266" s="26">
        <f>IF(AN266=21,L266,0)</f>
        <v>0</v>
      </c>
      <c r="AN266" s="12">
        <v>21</v>
      </c>
      <c r="AO266" s="12">
        <f>K266*0</f>
        <v>0</v>
      </c>
      <c r="AP266" s="12">
        <f>K266*(1-0)</f>
        <v>0</v>
      </c>
      <c r="AQ266" s="32" t="s">
        <v>85</v>
      </c>
      <c r="AV266" s="12">
        <f>AW266+AX266</f>
        <v>0</v>
      </c>
      <c r="AW266" s="12">
        <f>J266*AO266</f>
        <v>0</v>
      </c>
      <c r="AX266" s="12">
        <f>J266*AP266</f>
        <v>0</v>
      </c>
      <c r="AY266" s="78" t="s">
        <v>908</v>
      </c>
      <c r="AZ266" s="78" t="s">
        <v>924</v>
      </c>
      <c r="BA266" s="27" t="s">
        <v>928</v>
      </c>
      <c r="BC266" s="12">
        <f>AW266+AX266</f>
        <v>0</v>
      </c>
      <c r="BD266" s="12">
        <f>K266/(100-BE266)*100</f>
        <v>0</v>
      </c>
      <c r="BE266" s="12">
        <v>0</v>
      </c>
      <c r="BF266" s="12">
        <f>266</f>
        <v>266</v>
      </c>
      <c r="BH266" s="26">
        <f>J266*AO266</f>
        <v>0</v>
      </c>
      <c r="BI266" s="26">
        <f>J266*AP266</f>
        <v>0</v>
      </c>
      <c r="BJ266" s="26">
        <f>J266*K266</f>
        <v>0</v>
      </c>
    </row>
    <row r="267" spans="1:62" x14ac:dyDescent="0.2">
      <c r="C267" s="62" t="s">
        <v>296</v>
      </c>
      <c r="D267" s="113" t="s">
        <v>764</v>
      </c>
      <c r="E267" s="114"/>
      <c r="F267" s="114"/>
      <c r="G267" s="114"/>
      <c r="H267" s="114"/>
      <c r="I267" s="114"/>
      <c r="J267" s="114"/>
      <c r="K267" s="154"/>
      <c r="L267" s="114"/>
      <c r="M267" s="114"/>
    </row>
    <row r="268" spans="1:62" x14ac:dyDescent="0.2">
      <c r="A268" s="20" t="s">
        <v>238</v>
      </c>
      <c r="B268" s="20" t="s">
        <v>7</v>
      </c>
      <c r="C268" s="20" t="s">
        <v>449</v>
      </c>
      <c r="D268" s="121" t="s">
        <v>765</v>
      </c>
      <c r="E268" s="122"/>
      <c r="F268" s="122"/>
      <c r="G268" s="122"/>
      <c r="H268" s="122"/>
      <c r="I268" s="20" t="s">
        <v>784</v>
      </c>
      <c r="J268" s="29">
        <v>25</v>
      </c>
      <c r="K268" s="70">
        <v>0</v>
      </c>
      <c r="L268" s="29">
        <f>J268*K268</f>
        <v>0</v>
      </c>
      <c r="M268" s="33" t="s">
        <v>874</v>
      </c>
      <c r="Z268" s="12">
        <f>IF(AQ268="5",BJ268,0)</f>
        <v>0</v>
      </c>
      <c r="AB268" s="12">
        <f>IF(AQ268="1",BH268,0)</f>
        <v>0</v>
      </c>
      <c r="AC268" s="12">
        <f>IF(AQ268="1",BI268,0)</f>
        <v>0</v>
      </c>
      <c r="AD268" s="12">
        <f>IF(AQ268="7",BH268,0)</f>
        <v>0</v>
      </c>
      <c r="AE268" s="12">
        <f>IF(AQ268="7",BI268,0)</f>
        <v>0</v>
      </c>
      <c r="AF268" s="12">
        <f>IF(AQ268="2",BH268,0)</f>
        <v>0</v>
      </c>
      <c r="AG268" s="12">
        <f>IF(AQ268="2",BI268,0)</f>
        <v>0</v>
      </c>
      <c r="AH268" s="12">
        <f>IF(AQ268="0",BJ268,0)</f>
        <v>0</v>
      </c>
      <c r="AI268" s="27" t="s">
        <v>7</v>
      </c>
      <c r="AJ268" s="29">
        <f>IF(AN268=0,L268,0)</f>
        <v>0</v>
      </c>
      <c r="AK268" s="29">
        <f>IF(AN268=15,L268,0)</f>
        <v>0</v>
      </c>
      <c r="AL268" s="29">
        <f>IF(AN268=21,L268,0)</f>
        <v>0</v>
      </c>
      <c r="AN268" s="12">
        <v>21</v>
      </c>
      <c r="AO268" s="12">
        <f>K268*1</f>
        <v>0</v>
      </c>
      <c r="AP268" s="12">
        <f>K268*(1-1)</f>
        <v>0</v>
      </c>
      <c r="AQ268" s="33" t="s">
        <v>85</v>
      </c>
      <c r="AV268" s="12">
        <f>AW268+AX268</f>
        <v>0</v>
      </c>
      <c r="AW268" s="12">
        <f>J268*AO268</f>
        <v>0</v>
      </c>
      <c r="AX268" s="12">
        <f>J268*AP268</f>
        <v>0</v>
      </c>
      <c r="AY268" s="78" t="s">
        <v>908</v>
      </c>
      <c r="AZ268" s="78" t="s">
        <v>924</v>
      </c>
      <c r="BA268" s="27" t="s">
        <v>928</v>
      </c>
      <c r="BC268" s="12">
        <f>AW268+AX268</f>
        <v>0</v>
      </c>
      <c r="BD268" s="12">
        <f>K268/(100-BE268)*100</f>
        <v>0</v>
      </c>
      <c r="BE268" s="12">
        <v>0</v>
      </c>
      <c r="BF268" s="12">
        <f>268</f>
        <v>268</v>
      </c>
      <c r="BH268" s="29">
        <f>J268*AO268</f>
        <v>0</v>
      </c>
      <c r="BI268" s="29">
        <f>J268*AP268</f>
        <v>0</v>
      </c>
      <c r="BJ268" s="29">
        <f>J268*K268</f>
        <v>0</v>
      </c>
    </row>
    <row r="269" spans="1:62" ht="25.7" customHeight="1" x14ac:dyDescent="0.2">
      <c r="C269" s="62" t="s">
        <v>296</v>
      </c>
      <c r="D269" s="113" t="s">
        <v>767</v>
      </c>
      <c r="E269" s="114"/>
      <c r="F269" s="114"/>
      <c r="G269" s="114"/>
      <c r="H269" s="114"/>
      <c r="I269" s="114"/>
      <c r="J269" s="114"/>
      <c r="K269" s="154"/>
      <c r="L269" s="114"/>
      <c r="M269" s="114"/>
    </row>
    <row r="270" spans="1:62" x14ac:dyDescent="0.2">
      <c r="A270" s="54"/>
      <c r="B270" s="19" t="s">
        <v>7</v>
      </c>
      <c r="C270" s="19" t="s">
        <v>35</v>
      </c>
      <c r="D270" s="117" t="s">
        <v>64</v>
      </c>
      <c r="E270" s="118"/>
      <c r="F270" s="118"/>
      <c r="G270" s="118"/>
      <c r="H270" s="118"/>
      <c r="I270" s="54" t="s">
        <v>5</v>
      </c>
      <c r="J270" s="54" t="s">
        <v>5</v>
      </c>
      <c r="K270" s="68" t="s">
        <v>5</v>
      </c>
      <c r="L270" s="80">
        <f>SUM(L271:L271)</f>
        <v>0</v>
      </c>
      <c r="M270" s="27"/>
      <c r="AI270" s="27" t="s">
        <v>7</v>
      </c>
      <c r="AS270" s="80">
        <f>SUM(AJ271:AJ271)</f>
        <v>0</v>
      </c>
      <c r="AT270" s="80">
        <f>SUM(AK271:AK271)</f>
        <v>0</v>
      </c>
      <c r="AU270" s="80">
        <f>SUM(AL271:AL271)</f>
        <v>0</v>
      </c>
    </row>
    <row r="271" spans="1:62" x14ac:dyDescent="0.2">
      <c r="A271" s="18" t="s">
        <v>239</v>
      </c>
      <c r="B271" s="18" t="s">
        <v>7</v>
      </c>
      <c r="C271" s="18" t="s">
        <v>450</v>
      </c>
      <c r="D271" s="111" t="s">
        <v>768</v>
      </c>
      <c r="E271" s="112"/>
      <c r="F271" s="112"/>
      <c r="G271" s="112"/>
      <c r="H271" s="112"/>
      <c r="I271" s="18" t="s">
        <v>785</v>
      </c>
      <c r="J271" s="26">
        <v>13.9</v>
      </c>
      <c r="K271" s="69">
        <v>0</v>
      </c>
      <c r="L271" s="26">
        <f>J271*K271</f>
        <v>0</v>
      </c>
      <c r="M271" s="32" t="s">
        <v>874</v>
      </c>
      <c r="Z271" s="12">
        <f>IF(AQ271="5",BJ271,0)</f>
        <v>0</v>
      </c>
      <c r="AB271" s="12">
        <f>IF(AQ271="1",BH271,0)</f>
        <v>0</v>
      </c>
      <c r="AC271" s="12">
        <f>IF(AQ271="1",BI271,0)</f>
        <v>0</v>
      </c>
      <c r="AD271" s="12">
        <f>IF(AQ271="7",BH271,0)</f>
        <v>0</v>
      </c>
      <c r="AE271" s="12">
        <f>IF(AQ271="7",BI271,0)</f>
        <v>0</v>
      </c>
      <c r="AF271" s="12">
        <f>IF(AQ271="2",BH271,0)</f>
        <v>0</v>
      </c>
      <c r="AG271" s="12">
        <f>IF(AQ271="2",BI271,0)</f>
        <v>0</v>
      </c>
      <c r="AH271" s="12">
        <f>IF(AQ271="0",BJ271,0)</f>
        <v>0</v>
      </c>
      <c r="AI271" s="27" t="s">
        <v>7</v>
      </c>
      <c r="AJ271" s="26">
        <f>IF(AN271=0,L271,0)</f>
        <v>0</v>
      </c>
      <c r="AK271" s="26">
        <f>IF(AN271=15,L271,0)</f>
        <v>0</v>
      </c>
      <c r="AL271" s="26">
        <f>IF(AN271=21,L271,0)</f>
        <v>0</v>
      </c>
      <c r="AN271" s="12">
        <v>21</v>
      </c>
      <c r="AO271" s="12">
        <f>K271*0</f>
        <v>0</v>
      </c>
      <c r="AP271" s="12">
        <f>K271*(1-0)</f>
        <v>0</v>
      </c>
      <c r="AQ271" s="32" t="s">
        <v>85</v>
      </c>
      <c r="AV271" s="12">
        <f>AW271+AX271</f>
        <v>0</v>
      </c>
      <c r="AW271" s="12">
        <f>J271*AO271</f>
        <v>0</v>
      </c>
      <c r="AX271" s="12">
        <f>J271*AP271</f>
        <v>0</v>
      </c>
      <c r="AY271" s="78" t="s">
        <v>909</v>
      </c>
      <c r="AZ271" s="78" t="s">
        <v>924</v>
      </c>
      <c r="BA271" s="27" t="s">
        <v>928</v>
      </c>
      <c r="BC271" s="12">
        <f>AW271+AX271</f>
        <v>0</v>
      </c>
      <c r="BD271" s="12">
        <f>K271/(100-BE271)*100</f>
        <v>0</v>
      </c>
      <c r="BE271" s="12">
        <v>0</v>
      </c>
      <c r="BF271" s="12">
        <f>271</f>
        <v>271</v>
      </c>
      <c r="BH271" s="26">
        <f>J271*AO271</f>
        <v>0</v>
      </c>
      <c r="BI271" s="26">
        <f>J271*AP271</f>
        <v>0</v>
      </c>
      <c r="BJ271" s="26">
        <f>J271*K271</f>
        <v>0</v>
      </c>
    </row>
    <row r="272" spans="1:62" x14ac:dyDescent="0.2">
      <c r="D272" s="157" t="s">
        <v>863</v>
      </c>
      <c r="E272" s="158"/>
      <c r="F272" s="158"/>
      <c r="G272" s="158"/>
      <c r="H272" s="158"/>
      <c r="K272" s="71"/>
    </row>
    <row r="273" spans="1:62" ht="25.7" customHeight="1" x14ac:dyDescent="0.2">
      <c r="C273" s="62" t="s">
        <v>296</v>
      </c>
      <c r="D273" s="113" t="s">
        <v>770</v>
      </c>
      <c r="E273" s="114"/>
      <c r="F273" s="114"/>
      <c r="G273" s="114"/>
      <c r="H273" s="114"/>
      <c r="I273" s="114"/>
      <c r="J273" s="114"/>
      <c r="K273" s="154"/>
      <c r="L273" s="114"/>
      <c r="M273" s="114"/>
    </row>
    <row r="274" spans="1:62" x14ac:dyDescent="0.2">
      <c r="A274" s="54"/>
      <c r="B274" s="19" t="s">
        <v>7</v>
      </c>
      <c r="C274" s="19" t="s">
        <v>36</v>
      </c>
      <c r="D274" s="117" t="s">
        <v>65</v>
      </c>
      <c r="E274" s="118"/>
      <c r="F274" s="118"/>
      <c r="G274" s="118"/>
      <c r="H274" s="118"/>
      <c r="I274" s="54" t="s">
        <v>5</v>
      </c>
      <c r="J274" s="54" t="s">
        <v>5</v>
      </c>
      <c r="K274" s="68" t="s">
        <v>5</v>
      </c>
      <c r="L274" s="80">
        <f>SUM(L275:L275)</f>
        <v>0</v>
      </c>
      <c r="M274" s="27"/>
      <c r="AI274" s="27" t="s">
        <v>7</v>
      </c>
      <c r="AS274" s="80">
        <f>SUM(AJ275:AJ275)</f>
        <v>0</v>
      </c>
      <c r="AT274" s="80">
        <f>SUM(AK275:AK275)</f>
        <v>0</v>
      </c>
      <c r="AU274" s="80">
        <f>SUM(AL275:AL275)</f>
        <v>0</v>
      </c>
    </row>
    <row r="275" spans="1:62" x14ac:dyDescent="0.2">
      <c r="A275" s="18" t="s">
        <v>240</v>
      </c>
      <c r="B275" s="18" t="s">
        <v>7</v>
      </c>
      <c r="C275" s="18" t="s">
        <v>451</v>
      </c>
      <c r="D275" s="111" t="s">
        <v>771</v>
      </c>
      <c r="E275" s="112"/>
      <c r="F275" s="112"/>
      <c r="G275" s="112"/>
      <c r="H275" s="112"/>
      <c r="I275" s="18" t="s">
        <v>786</v>
      </c>
      <c r="J275" s="26">
        <v>829.50376000000006</v>
      </c>
      <c r="K275" s="69">
        <v>0</v>
      </c>
      <c r="L275" s="26">
        <f>J275*K275</f>
        <v>0</v>
      </c>
      <c r="M275" s="32" t="s">
        <v>874</v>
      </c>
      <c r="Z275" s="12">
        <f>IF(AQ275="5",BJ275,0)</f>
        <v>0</v>
      </c>
      <c r="AB275" s="12">
        <f>IF(AQ275="1",BH275,0)</f>
        <v>0</v>
      </c>
      <c r="AC275" s="12">
        <f>IF(AQ275="1",BI275,0)</f>
        <v>0</v>
      </c>
      <c r="AD275" s="12">
        <f>IF(AQ275="7",BH275,0)</f>
        <v>0</v>
      </c>
      <c r="AE275" s="12">
        <f>IF(AQ275="7",BI275,0)</f>
        <v>0</v>
      </c>
      <c r="AF275" s="12">
        <f>IF(AQ275="2",BH275,0)</f>
        <v>0</v>
      </c>
      <c r="AG275" s="12">
        <f>IF(AQ275="2",BI275,0)</f>
        <v>0</v>
      </c>
      <c r="AH275" s="12">
        <f>IF(AQ275="0",BJ275,0)</f>
        <v>0</v>
      </c>
      <c r="AI275" s="27" t="s">
        <v>7</v>
      </c>
      <c r="AJ275" s="26">
        <f>IF(AN275=0,L275,0)</f>
        <v>0</v>
      </c>
      <c r="AK275" s="26">
        <f>IF(AN275=15,L275,0)</f>
        <v>0</v>
      </c>
      <c r="AL275" s="26">
        <f>IF(AN275=21,L275,0)</f>
        <v>0</v>
      </c>
      <c r="AN275" s="12">
        <v>21</v>
      </c>
      <c r="AO275" s="12">
        <f>K275*0</f>
        <v>0</v>
      </c>
      <c r="AP275" s="12">
        <f>K275*(1-0)</f>
        <v>0</v>
      </c>
      <c r="AQ275" s="32" t="s">
        <v>89</v>
      </c>
      <c r="AV275" s="12">
        <f>AW275+AX275</f>
        <v>0</v>
      </c>
      <c r="AW275" s="12">
        <f>J275*AO275</f>
        <v>0</v>
      </c>
      <c r="AX275" s="12">
        <f>J275*AP275</f>
        <v>0</v>
      </c>
      <c r="AY275" s="78" t="s">
        <v>910</v>
      </c>
      <c r="AZ275" s="78" t="s">
        <v>924</v>
      </c>
      <c r="BA275" s="27" t="s">
        <v>928</v>
      </c>
      <c r="BC275" s="12">
        <f>AW275+AX275</f>
        <v>0</v>
      </c>
      <c r="BD275" s="12">
        <f>K275/(100-BE275)*100</f>
        <v>0</v>
      </c>
      <c r="BE275" s="12">
        <v>0</v>
      </c>
      <c r="BF275" s="12">
        <f>275</f>
        <v>275</v>
      </c>
      <c r="BH275" s="26">
        <f>J275*AO275</f>
        <v>0</v>
      </c>
      <c r="BI275" s="26">
        <f>J275*AP275</f>
        <v>0</v>
      </c>
      <c r="BJ275" s="26">
        <f>J275*K275</f>
        <v>0</v>
      </c>
    </row>
    <row r="276" spans="1:62" x14ac:dyDescent="0.2">
      <c r="A276" s="54"/>
      <c r="B276" s="19" t="s">
        <v>7</v>
      </c>
      <c r="C276" s="19" t="s">
        <v>37</v>
      </c>
      <c r="D276" s="117" t="s">
        <v>66</v>
      </c>
      <c r="E276" s="118"/>
      <c r="F276" s="118"/>
      <c r="G276" s="118"/>
      <c r="H276" s="118"/>
      <c r="I276" s="54" t="s">
        <v>5</v>
      </c>
      <c r="J276" s="54" t="s">
        <v>5</v>
      </c>
      <c r="K276" s="68" t="s">
        <v>5</v>
      </c>
      <c r="L276" s="80">
        <f>SUM(L277:L281)</f>
        <v>0</v>
      </c>
      <c r="M276" s="27"/>
      <c r="AI276" s="27" t="s">
        <v>7</v>
      </c>
      <c r="AS276" s="80">
        <f>SUM(AJ277:AJ281)</f>
        <v>0</v>
      </c>
      <c r="AT276" s="80">
        <f>SUM(AK277:AK281)</f>
        <v>0</v>
      </c>
      <c r="AU276" s="80">
        <f>SUM(AL277:AL281)</f>
        <v>0</v>
      </c>
    </row>
    <row r="277" spans="1:62" x14ac:dyDescent="0.2">
      <c r="A277" s="18" t="s">
        <v>241</v>
      </c>
      <c r="B277" s="18" t="s">
        <v>7</v>
      </c>
      <c r="C277" s="18" t="s">
        <v>453</v>
      </c>
      <c r="D277" s="111" t="s">
        <v>773</v>
      </c>
      <c r="E277" s="112"/>
      <c r="F277" s="112"/>
      <c r="G277" s="112"/>
      <c r="H277" s="112"/>
      <c r="I277" s="18" t="s">
        <v>786</v>
      </c>
      <c r="J277" s="26">
        <v>903.87149999999997</v>
      </c>
      <c r="K277" s="69">
        <v>0</v>
      </c>
      <c r="L277" s="26">
        <f>J277*K277</f>
        <v>0</v>
      </c>
      <c r="M277" s="32" t="s">
        <v>874</v>
      </c>
      <c r="Z277" s="12">
        <f>IF(AQ277="5",BJ277,0)</f>
        <v>0</v>
      </c>
      <c r="AB277" s="12">
        <f>IF(AQ277="1",BH277,0)</f>
        <v>0</v>
      </c>
      <c r="AC277" s="12">
        <f>IF(AQ277="1",BI277,0)</f>
        <v>0</v>
      </c>
      <c r="AD277" s="12">
        <f>IF(AQ277="7",BH277,0)</f>
        <v>0</v>
      </c>
      <c r="AE277" s="12">
        <f>IF(AQ277="7",BI277,0)</f>
        <v>0</v>
      </c>
      <c r="AF277" s="12">
        <f>IF(AQ277="2",BH277,0)</f>
        <v>0</v>
      </c>
      <c r="AG277" s="12">
        <f>IF(AQ277="2",BI277,0)</f>
        <v>0</v>
      </c>
      <c r="AH277" s="12">
        <f>IF(AQ277="0",BJ277,0)</f>
        <v>0</v>
      </c>
      <c r="AI277" s="27" t="s">
        <v>7</v>
      </c>
      <c r="AJ277" s="26">
        <f>IF(AN277=0,L277,0)</f>
        <v>0</v>
      </c>
      <c r="AK277" s="26">
        <f>IF(AN277=15,L277,0)</f>
        <v>0</v>
      </c>
      <c r="AL277" s="26">
        <f>IF(AN277=21,L277,0)</f>
        <v>0</v>
      </c>
      <c r="AN277" s="12">
        <v>21</v>
      </c>
      <c r="AO277" s="12">
        <f>K277*0</f>
        <v>0</v>
      </c>
      <c r="AP277" s="12">
        <f>K277*(1-0)</f>
        <v>0</v>
      </c>
      <c r="AQ277" s="32" t="s">
        <v>89</v>
      </c>
      <c r="AV277" s="12">
        <f>AW277+AX277</f>
        <v>0</v>
      </c>
      <c r="AW277" s="12">
        <f>J277*AO277</f>
        <v>0</v>
      </c>
      <c r="AX277" s="12">
        <f>J277*AP277</f>
        <v>0</v>
      </c>
      <c r="AY277" s="78" t="s">
        <v>911</v>
      </c>
      <c r="AZ277" s="78" t="s">
        <v>924</v>
      </c>
      <c r="BA277" s="27" t="s">
        <v>928</v>
      </c>
      <c r="BC277" s="12">
        <f>AW277+AX277</f>
        <v>0</v>
      </c>
      <c r="BD277" s="12">
        <f>K277/(100-BE277)*100</f>
        <v>0</v>
      </c>
      <c r="BE277" s="12">
        <v>0</v>
      </c>
      <c r="BF277" s="12">
        <f>277</f>
        <v>277</v>
      </c>
      <c r="BH277" s="26">
        <f>J277*AO277</f>
        <v>0</v>
      </c>
      <c r="BI277" s="26">
        <f>J277*AP277</f>
        <v>0</v>
      </c>
      <c r="BJ277" s="26">
        <f>J277*K277</f>
        <v>0</v>
      </c>
    </row>
    <row r="278" spans="1:62" x14ac:dyDescent="0.2">
      <c r="A278" s="18" t="s">
        <v>242</v>
      </c>
      <c r="B278" s="18" t="s">
        <v>7</v>
      </c>
      <c r="C278" s="18" t="s">
        <v>454</v>
      </c>
      <c r="D278" s="111" t="s">
        <v>774</v>
      </c>
      <c r="E278" s="112"/>
      <c r="F278" s="112"/>
      <c r="G278" s="112"/>
      <c r="H278" s="112"/>
      <c r="I278" s="18" t="s">
        <v>786</v>
      </c>
      <c r="J278" s="26">
        <v>18077.43</v>
      </c>
      <c r="K278" s="69">
        <v>0</v>
      </c>
      <c r="L278" s="26">
        <f>J278*K278</f>
        <v>0</v>
      </c>
      <c r="M278" s="32" t="s">
        <v>874</v>
      </c>
      <c r="Z278" s="12">
        <f>IF(AQ278="5",BJ278,0)</f>
        <v>0</v>
      </c>
      <c r="AB278" s="12">
        <f>IF(AQ278="1",BH278,0)</f>
        <v>0</v>
      </c>
      <c r="AC278" s="12">
        <f>IF(AQ278="1",BI278,0)</f>
        <v>0</v>
      </c>
      <c r="AD278" s="12">
        <f>IF(AQ278="7",BH278,0)</f>
        <v>0</v>
      </c>
      <c r="AE278" s="12">
        <f>IF(AQ278="7",BI278,0)</f>
        <v>0</v>
      </c>
      <c r="AF278" s="12">
        <f>IF(AQ278="2",BH278,0)</f>
        <v>0</v>
      </c>
      <c r="AG278" s="12">
        <f>IF(AQ278="2",BI278,0)</f>
        <v>0</v>
      </c>
      <c r="AH278" s="12">
        <f>IF(AQ278="0",BJ278,0)</f>
        <v>0</v>
      </c>
      <c r="AI278" s="27" t="s">
        <v>7</v>
      </c>
      <c r="AJ278" s="26">
        <f>IF(AN278=0,L278,0)</f>
        <v>0</v>
      </c>
      <c r="AK278" s="26">
        <f>IF(AN278=15,L278,0)</f>
        <v>0</v>
      </c>
      <c r="AL278" s="26">
        <f>IF(AN278=21,L278,0)</f>
        <v>0</v>
      </c>
      <c r="AN278" s="12">
        <v>21</v>
      </c>
      <c r="AO278" s="12">
        <f>K278*0</f>
        <v>0</v>
      </c>
      <c r="AP278" s="12">
        <f>K278*(1-0)</f>
        <v>0</v>
      </c>
      <c r="AQ278" s="32" t="s">
        <v>89</v>
      </c>
      <c r="AV278" s="12">
        <f>AW278+AX278</f>
        <v>0</v>
      </c>
      <c r="AW278" s="12">
        <f>J278*AO278</f>
        <v>0</v>
      </c>
      <c r="AX278" s="12">
        <f>J278*AP278</f>
        <v>0</v>
      </c>
      <c r="AY278" s="78" t="s">
        <v>911</v>
      </c>
      <c r="AZ278" s="78" t="s">
        <v>924</v>
      </c>
      <c r="BA278" s="27" t="s">
        <v>928</v>
      </c>
      <c r="BC278" s="12">
        <f>AW278+AX278</f>
        <v>0</v>
      </c>
      <c r="BD278" s="12">
        <f>K278/(100-BE278)*100</f>
        <v>0</v>
      </c>
      <c r="BE278" s="12">
        <v>0</v>
      </c>
      <c r="BF278" s="12">
        <f>278</f>
        <v>278</v>
      </c>
      <c r="BH278" s="26">
        <f>J278*AO278</f>
        <v>0</v>
      </c>
      <c r="BI278" s="26">
        <f>J278*AP278</f>
        <v>0</v>
      </c>
      <c r="BJ278" s="26">
        <f>J278*K278</f>
        <v>0</v>
      </c>
    </row>
    <row r="279" spans="1:62" x14ac:dyDescent="0.2">
      <c r="A279" s="18" t="s">
        <v>243</v>
      </c>
      <c r="B279" s="18" t="s">
        <v>7</v>
      </c>
      <c r="C279" s="18" t="s">
        <v>455</v>
      </c>
      <c r="D279" s="111" t="s">
        <v>777</v>
      </c>
      <c r="E279" s="112"/>
      <c r="F279" s="112"/>
      <c r="G279" s="112"/>
      <c r="H279" s="112"/>
      <c r="I279" s="18" t="s">
        <v>786</v>
      </c>
      <c r="J279" s="26">
        <v>903.87149999999997</v>
      </c>
      <c r="K279" s="69">
        <v>0</v>
      </c>
      <c r="L279" s="26">
        <f>J279*K279</f>
        <v>0</v>
      </c>
      <c r="M279" s="32" t="s">
        <v>874</v>
      </c>
      <c r="Z279" s="12">
        <f>IF(AQ279="5",BJ279,0)</f>
        <v>0</v>
      </c>
      <c r="AB279" s="12">
        <f>IF(AQ279="1",BH279,0)</f>
        <v>0</v>
      </c>
      <c r="AC279" s="12">
        <f>IF(AQ279="1",BI279,0)</f>
        <v>0</v>
      </c>
      <c r="AD279" s="12">
        <f>IF(AQ279="7",BH279,0)</f>
        <v>0</v>
      </c>
      <c r="AE279" s="12">
        <f>IF(AQ279="7",BI279,0)</f>
        <v>0</v>
      </c>
      <c r="AF279" s="12">
        <f>IF(AQ279="2",BH279,0)</f>
        <v>0</v>
      </c>
      <c r="AG279" s="12">
        <f>IF(AQ279="2",BI279,0)</f>
        <v>0</v>
      </c>
      <c r="AH279" s="12">
        <f>IF(AQ279="0",BJ279,0)</f>
        <v>0</v>
      </c>
      <c r="AI279" s="27" t="s">
        <v>7</v>
      </c>
      <c r="AJ279" s="26">
        <f>IF(AN279=0,L279,0)</f>
        <v>0</v>
      </c>
      <c r="AK279" s="26">
        <f>IF(AN279=15,L279,0)</f>
        <v>0</v>
      </c>
      <c r="AL279" s="26">
        <f>IF(AN279=21,L279,0)</f>
        <v>0</v>
      </c>
      <c r="AN279" s="12">
        <v>21</v>
      </c>
      <c r="AO279" s="12">
        <f>K279*0</f>
        <v>0</v>
      </c>
      <c r="AP279" s="12">
        <f>K279*(1-0)</f>
        <v>0</v>
      </c>
      <c r="AQ279" s="32" t="s">
        <v>89</v>
      </c>
      <c r="AV279" s="12">
        <f>AW279+AX279</f>
        <v>0</v>
      </c>
      <c r="AW279" s="12">
        <f>J279*AO279</f>
        <v>0</v>
      </c>
      <c r="AX279" s="12">
        <f>J279*AP279</f>
        <v>0</v>
      </c>
      <c r="AY279" s="78" t="s">
        <v>911</v>
      </c>
      <c r="AZ279" s="78" t="s">
        <v>924</v>
      </c>
      <c r="BA279" s="27" t="s">
        <v>928</v>
      </c>
      <c r="BC279" s="12">
        <f>AW279+AX279</f>
        <v>0</v>
      </c>
      <c r="BD279" s="12">
        <f>K279/(100-BE279)*100</f>
        <v>0</v>
      </c>
      <c r="BE279" s="12">
        <v>0</v>
      </c>
      <c r="BF279" s="12">
        <f>279</f>
        <v>279</v>
      </c>
      <c r="BH279" s="26">
        <f>J279*AO279</f>
        <v>0</v>
      </c>
      <c r="BI279" s="26">
        <f>J279*AP279</f>
        <v>0</v>
      </c>
      <c r="BJ279" s="26">
        <f>J279*K279</f>
        <v>0</v>
      </c>
    </row>
    <row r="280" spans="1:62" x14ac:dyDescent="0.2">
      <c r="C280" s="62" t="s">
        <v>296</v>
      </c>
      <c r="D280" s="113" t="s">
        <v>778</v>
      </c>
      <c r="E280" s="114"/>
      <c r="F280" s="114"/>
      <c r="G280" s="114"/>
      <c r="H280" s="114"/>
      <c r="I280" s="114"/>
      <c r="J280" s="114"/>
      <c r="K280" s="154"/>
      <c r="L280" s="114"/>
      <c r="M280" s="114"/>
    </row>
    <row r="281" spans="1:62" x14ac:dyDescent="0.2">
      <c r="A281" s="18" t="s">
        <v>244</v>
      </c>
      <c r="B281" s="18" t="s">
        <v>7</v>
      </c>
      <c r="C281" s="18" t="s">
        <v>456</v>
      </c>
      <c r="D281" s="111" t="s">
        <v>779</v>
      </c>
      <c r="E281" s="112"/>
      <c r="F281" s="112"/>
      <c r="G281" s="112"/>
      <c r="H281" s="112"/>
      <c r="I281" s="18" t="s">
        <v>786</v>
      </c>
      <c r="J281" s="26">
        <v>903.87149999999997</v>
      </c>
      <c r="K281" s="69">
        <v>0</v>
      </c>
      <c r="L281" s="26">
        <f>J281*K281</f>
        <v>0</v>
      </c>
      <c r="M281" s="32" t="s">
        <v>875</v>
      </c>
      <c r="Z281" s="12">
        <f>IF(AQ281="5",BJ281,0)</f>
        <v>0</v>
      </c>
      <c r="AB281" s="12">
        <f>IF(AQ281="1",BH281,0)</f>
        <v>0</v>
      </c>
      <c r="AC281" s="12">
        <f>IF(AQ281="1",BI281,0)</f>
        <v>0</v>
      </c>
      <c r="AD281" s="12">
        <f>IF(AQ281="7",BH281,0)</f>
        <v>0</v>
      </c>
      <c r="AE281" s="12">
        <f>IF(AQ281="7",BI281,0)</f>
        <v>0</v>
      </c>
      <c r="AF281" s="12">
        <f>IF(AQ281="2",BH281,0)</f>
        <v>0</v>
      </c>
      <c r="AG281" s="12">
        <f>IF(AQ281="2",BI281,0)</f>
        <v>0</v>
      </c>
      <c r="AH281" s="12">
        <f>IF(AQ281="0",BJ281,0)</f>
        <v>0</v>
      </c>
      <c r="AI281" s="27" t="s">
        <v>7</v>
      </c>
      <c r="AJ281" s="26">
        <f>IF(AN281=0,L281,0)</f>
        <v>0</v>
      </c>
      <c r="AK281" s="26">
        <f>IF(AN281=15,L281,0)</f>
        <v>0</v>
      </c>
      <c r="AL281" s="26">
        <f>IF(AN281=21,L281,0)</f>
        <v>0</v>
      </c>
      <c r="AN281" s="12">
        <v>21</v>
      </c>
      <c r="AO281" s="12">
        <f>K281*0</f>
        <v>0</v>
      </c>
      <c r="AP281" s="12">
        <f>K281*(1-0)</f>
        <v>0</v>
      </c>
      <c r="AQ281" s="32" t="s">
        <v>89</v>
      </c>
      <c r="AV281" s="12">
        <f>AW281+AX281</f>
        <v>0</v>
      </c>
      <c r="AW281" s="12">
        <f>J281*AO281</f>
        <v>0</v>
      </c>
      <c r="AX281" s="12">
        <f>J281*AP281</f>
        <v>0</v>
      </c>
      <c r="AY281" s="78" t="s">
        <v>911</v>
      </c>
      <c r="AZ281" s="78" t="s">
        <v>924</v>
      </c>
      <c r="BA281" s="27" t="s">
        <v>928</v>
      </c>
      <c r="BC281" s="12">
        <f>AW281+AX281</f>
        <v>0</v>
      </c>
      <c r="BD281" s="12">
        <f>K281/(100-BE281)*100</f>
        <v>0</v>
      </c>
      <c r="BE281" s="12">
        <v>0</v>
      </c>
      <c r="BF281" s="12">
        <f>281</f>
        <v>281</v>
      </c>
      <c r="BH281" s="26">
        <f>J281*AO281</f>
        <v>0</v>
      </c>
      <c r="BI281" s="26">
        <f>J281*AP281</f>
        <v>0</v>
      </c>
      <c r="BJ281" s="26">
        <f>J281*K281</f>
        <v>0</v>
      </c>
    </row>
    <row r="282" spans="1:62" x14ac:dyDescent="0.2">
      <c r="A282" s="55"/>
      <c r="B282" s="60" t="s">
        <v>8</v>
      </c>
      <c r="C282" s="60"/>
      <c r="D282" s="160" t="s">
        <v>67</v>
      </c>
      <c r="E282" s="161"/>
      <c r="F282" s="161"/>
      <c r="G282" s="161"/>
      <c r="H282" s="161"/>
      <c r="I282" s="55" t="s">
        <v>5</v>
      </c>
      <c r="J282" s="55" t="s">
        <v>5</v>
      </c>
      <c r="K282" s="72" t="s">
        <v>5</v>
      </c>
      <c r="L282" s="81">
        <f>L283+L297+L302+L311+L315+L318+L322+L334+L339+L346+L349+L351+L354</f>
        <v>0</v>
      </c>
      <c r="M282" s="76"/>
    </row>
    <row r="283" spans="1:62" x14ac:dyDescent="0.2">
      <c r="A283" s="54"/>
      <c r="B283" s="19" t="s">
        <v>8</v>
      </c>
      <c r="C283" s="19" t="s">
        <v>12</v>
      </c>
      <c r="D283" s="117" t="s">
        <v>41</v>
      </c>
      <c r="E283" s="118"/>
      <c r="F283" s="118"/>
      <c r="G283" s="118"/>
      <c r="H283" s="118"/>
      <c r="I283" s="54" t="s">
        <v>5</v>
      </c>
      <c r="J283" s="54" t="s">
        <v>5</v>
      </c>
      <c r="K283" s="68" t="s">
        <v>5</v>
      </c>
      <c r="L283" s="80">
        <f>SUM(L284:L296)</f>
        <v>0</v>
      </c>
      <c r="M283" s="27"/>
      <c r="AI283" s="27" t="s">
        <v>8</v>
      </c>
      <c r="AS283" s="80">
        <f>SUM(AJ284:AJ296)</f>
        <v>0</v>
      </c>
      <c r="AT283" s="80">
        <f>SUM(AK284:AK296)</f>
        <v>0</v>
      </c>
      <c r="AU283" s="80">
        <f>SUM(AL284:AL296)</f>
        <v>0</v>
      </c>
    </row>
    <row r="284" spans="1:62" x14ac:dyDescent="0.2">
      <c r="A284" s="18" t="s">
        <v>245</v>
      </c>
      <c r="B284" s="18" t="s">
        <v>8</v>
      </c>
      <c r="C284" s="18" t="s">
        <v>283</v>
      </c>
      <c r="D284" s="111" t="s">
        <v>458</v>
      </c>
      <c r="E284" s="112"/>
      <c r="F284" s="112"/>
      <c r="G284" s="112"/>
      <c r="H284" s="112"/>
      <c r="I284" s="18" t="s">
        <v>781</v>
      </c>
      <c r="J284" s="26">
        <v>1</v>
      </c>
      <c r="K284" s="69">
        <v>0</v>
      </c>
      <c r="L284" s="26">
        <f>J284*K284</f>
        <v>0</v>
      </c>
      <c r="M284" s="32"/>
      <c r="Z284" s="12">
        <f>IF(AQ284="5",BJ284,0)</f>
        <v>0</v>
      </c>
      <c r="AB284" s="12">
        <f>IF(AQ284="1",BH284,0)</f>
        <v>0</v>
      </c>
      <c r="AC284" s="12">
        <f>IF(AQ284="1",BI284,0)</f>
        <v>0</v>
      </c>
      <c r="AD284" s="12">
        <f>IF(AQ284="7",BH284,0)</f>
        <v>0</v>
      </c>
      <c r="AE284" s="12">
        <f>IF(AQ284="7",BI284,0)</f>
        <v>0</v>
      </c>
      <c r="AF284" s="12">
        <f>IF(AQ284="2",BH284,0)</f>
        <v>0</v>
      </c>
      <c r="AG284" s="12">
        <f>IF(AQ284="2",BI284,0)</f>
        <v>0</v>
      </c>
      <c r="AH284" s="12">
        <f>IF(AQ284="0",BJ284,0)</f>
        <v>0</v>
      </c>
      <c r="AI284" s="27" t="s">
        <v>8</v>
      </c>
      <c r="AJ284" s="26">
        <f>IF(AN284=0,L284,0)</f>
        <v>0</v>
      </c>
      <c r="AK284" s="26">
        <f>IF(AN284=15,L284,0)</f>
        <v>0</v>
      </c>
      <c r="AL284" s="26">
        <f>IF(AN284=21,L284,0)</f>
        <v>0</v>
      </c>
      <c r="AN284" s="12">
        <v>21</v>
      </c>
      <c r="AO284" s="12">
        <f>K284*0</f>
        <v>0</v>
      </c>
      <c r="AP284" s="12">
        <f>K284*(1-0)</f>
        <v>0</v>
      </c>
      <c r="AQ284" s="32" t="s">
        <v>85</v>
      </c>
      <c r="AV284" s="12">
        <f>AW284+AX284</f>
        <v>0</v>
      </c>
      <c r="AW284" s="12">
        <f>J284*AO284</f>
        <v>0</v>
      </c>
      <c r="AX284" s="12">
        <f>J284*AP284</f>
        <v>0</v>
      </c>
      <c r="AY284" s="78" t="s">
        <v>886</v>
      </c>
      <c r="AZ284" s="78" t="s">
        <v>925</v>
      </c>
      <c r="BA284" s="27" t="s">
        <v>929</v>
      </c>
      <c r="BC284" s="12">
        <f>AW284+AX284</f>
        <v>0</v>
      </c>
      <c r="BD284" s="12">
        <f>K284/(100-BE284)*100</f>
        <v>0</v>
      </c>
      <c r="BE284" s="12">
        <v>0</v>
      </c>
      <c r="BF284" s="12">
        <f>284</f>
        <v>284</v>
      </c>
      <c r="BH284" s="26">
        <f>J284*AO284</f>
        <v>0</v>
      </c>
      <c r="BI284" s="26">
        <f>J284*AP284</f>
        <v>0</v>
      </c>
      <c r="BJ284" s="26">
        <f>J284*K284</f>
        <v>0</v>
      </c>
    </row>
    <row r="285" spans="1:62" ht="38.450000000000003" customHeight="1" x14ac:dyDescent="0.2">
      <c r="C285" s="61" t="s">
        <v>9</v>
      </c>
      <c r="D285" s="123" t="s">
        <v>459</v>
      </c>
      <c r="E285" s="124"/>
      <c r="F285" s="124"/>
      <c r="G285" s="124"/>
      <c r="H285" s="124"/>
      <c r="I285" s="124"/>
      <c r="J285" s="124"/>
      <c r="K285" s="159"/>
      <c r="L285" s="124"/>
      <c r="M285" s="124"/>
    </row>
    <row r="286" spans="1:62" x14ac:dyDescent="0.2">
      <c r="A286" s="18" t="s">
        <v>246</v>
      </c>
      <c r="B286" s="18" t="s">
        <v>8</v>
      </c>
      <c r="C286" s="18" t="s">
        <v>291</v>
      </c>
      <c r="D286" s="111" t="s">
        <v>460</v>
      </c>
      <c r="E286" s="112"/>
      <c r="F286" s="112"/>
      <c r="G286" s="112"/>
      <c r="H286" s="112"/>
      <c r="I286" s="18" t="s">
        <v>781</v>
      </c>
      <c r="J286" s="26">
        <v>1</v>
      </c>
      <c r="K286" s="69">
        <v>0</v>
      </c>
      <c r="L286" s="26">
        <f>J286*K286</f>
        <v>0</v>
      </c>
      <c r="M286" s="32"/>
      <c r="Z286" s="12">
        <f>IF(AQ286="5",BJ286,0)</f>
        <v>0</v>
      </c>
      <c r="AB286" s="12">
        <f>IF(AQ286="1",BH286,0)</f>
        <v>0</v>
      </c>
      <c r="AC286" s="12">
        <f>IF(AQ286="1",BI286,0)</f>
        <v>0</v>
      </c>
      <c r="AD286" s="12">
        <f>IF(AQ286="7",BH286,0)</f>
        <v>0</v>
      </c>
      <c r="AE286" s="12">
        <f>IF(AQ286="7",BI286,0)</f>
        <v>0</v>
      </c>
      <c r="AF286" s="12">
        <f>IF(AQ286="2",BH286,0)</f>
        <v>0</v>
      </c>
      <c r="AG286" s="12">
        <f>IF(AQ286="2",BI286,0)</f>
        <v>0</v>
      </c>
      <c r="AH286" s="12">
        <f>IF(AQ286="0",BJ286,0)</f>
        <v>0</v>
      </c>
      <c r="AI286" s="27" t="s">
        <v>8</v>
      </c>
      <c r="AJ286" s="26">
        <f>IF(AN286=0,L286,0)</f>
        <v>0</v>
      </c>
      <c r="AK286" s="26">
        <f>IF(AN286=15,L286,0)</f>
        <v>0</v>
      </c>
      <c r="AL286" s="26">
        <f>IF(AN286=21,L286,0)</f>
        <v>0</v>
      </c>
      <c r="AN286" s="12">
        <v>21</v>
      </c>
      <c r="AO286" s="12">
        <f>K286*0</f>
        <v>0</v>
      </c>
      <c r="AP286" s="12">
        <f>K286*(1-0)</f>
        <v>0</v>
      </c>
      <c r="AQ286" s="32" t="s">
        <v>85</v>
      </c>
      <c r="AV286" s="12">
        <f>AW286+AX286</f>
        <v>0</v>
      </c>
      <c r="AW286" s="12">
        <f>J286*AO286</f>
        <v>0</v>
      </c>
      <c r="AX286" s="12">
        <f>J286*AP286</f>
        <v>0</v>
      </c>
      <c r="AY286" s="78" t="s">
        <v>886</v>
      </c>
      <c r="AZ286" s="78" t="s">
        <v>925</v>
      </c>
      <c r="BA286" s="27" t="s">
        <v>929</v>
      </c>
      <c r="BC286" s="12">
        <f>AW286+AX286</f>
        <v>0</v>
      </c>
      <c r="BD286" s="12">
        <f>K286/(100-BE286)*100</f>
        <v>0</v>
      </c>
      <c r="BE286" s="12">
        <v>0</v>
      </c>
      <c r="BF286" s="12">
        <f>286</f>
        <v>286</v>
      </c>
      <c r="BH286" s="26">
        <f>J286*AO286</f>
        <v>0</v>
      </c>
      <c r="BI286" s="26">
        <f>J286*AP286</f>
        <v>0</v>
      </c>
      <c r="BJ286" s="26">
        <f>J286*K286</f>
        <v>0</v>
      </c>
    </row>
    <row r="287" spans="1:62" x14ac:dyDescent="0.2">
      <c r="A287" s="18" t="s">
        <v>247</v>
      </c>
      <c r="B287" s="18" t="s">
        <v>8</v>
      </c>
      <c r="C287" s="18" t="s">
        <v>284</v>
      </c>
      <c r="D287" s="111" t="s">
        <v>461</v>
      </c>
      <c r="E287" s="112"/>
      <c r="F287" s="112"/>
      <c r="G287" s="112"/>
      <c r="H287" s="112"/>
      <c r="I287" s="18" t="s">
        <v>781</v>
      </c>
      <c r="J287" s="26">
        <v>1</v>
      </c>
      <c r="K287" s="69">
        <v>0</v>
      </c>
      <c r="L287" s="26">
        <f>J287*K287</f>
        <v>0</v>
      </c>
      <c r="M287" s="32"/>
      <c r="Z287" s="12">
        <f>IF(AQ287="5",BJ287,0)</f>
        <v>0</v>
      </c>
      <c r="AB287" s="12">
        <f>IF(AQ287="1",BH287,0)</f>
        <v>0</v>
      </c>
      <c r="AC287" s="12">
        <f>IF(AQ287="1",BI287,0)</f>
        <v>0</v>
      </c>
      <c r="AD287" s="12">
        <f>IF(AQ287="7",BH287,0)</f>
        <v>0</v>
      </c>
      <c r="AE287" s="12">
        <f>IF(AQ287="7",BI287,0)</f>
        <v>0</v>
      </c>
      <c r="AF287" s="12">
        <f>IF(AQ287="2",BH287,0)</f>
        <v>0</v>
      </c>
      <c r="AG287" s="12">
        <f>IF(AQ287="2",BI287,0)</f>
        <v>0</v>
      </c>
      <c r="AH287" s="12">
        <f>IF(AQ287="0",BJ287,0)</f>
        <v>0</v>
      </c>
      <c r="AI287" s="27" t="s">
        <v>8</v>
      </c>
      <c r="AJ287" s="26">
        <f>IF(AN287=0,L287,0)</f>
        <v>0</v>
      </c>
      <c r="AK287" s="26">
        <f>IF(AN287=15,L287,0)</f>
        <v>0</v>
      </c>
      <c r="AL287" s="26">
        <f>IF(AN287=21,L287,0)</f>
        <v>0</v>
      </c>
      <c r="AN287" s="12">
        <v>21</v>
      </c>
      <c r="AO287" s="12">
        <f>K287*0</f>
        <v>0</v>
      </c>
      <c r="AP287" s="12">
        <f>K287*(1-0)</f>
        <v>0</v>
      </c>
      <c r="AQ287" s="32" t="s">
        <v>85</v>
      </c>
      <c r="AV287" s="12">
        <f>AW287+AX287</f>
        <v>0</v>
      </c>
      <c r="AW287" s="12">
        <f>J287*AO287</f>
        <v>0</v>
      </c>
      <c r="AX287" s="12">
        <f>J287*AP287</f>
        <v>0</v>
      </c>
      <c r="AY287" s="78" t="s">
        <v>886</v>
      </c>
      <c r="AZ287" s="78" t="s">
        <v>925</v>
      </c>
      <c r="BA287" s="27" t="s">
        <v>929</v>
      </c>
      <c r="BC287" s="12">
        <f>AW287+AX287</f>
        <v>0</v>
      </c>
      <c r="BD287" s="12">
        <f>K287/(100-BE287)*100</f>
        <v>0</v>
      </c>
      <c r="BE287" s="12">
        <v>0</v>
      </c>
      <c r="BF287" s="12">
        <f>287</f>
        <v>287</v>
      </c>
      <c r="BH287" s="26">
        <f>J287*AO287</f>
        <v>0</v>
      </c>
      <c r="BI287" s="26">
        <f>J287*AP287</f>
        <v>0</v>
      </c>
      <c r="BJ287" s="26">
        <f>J287*K287</f>
        <v>0</v>
      </c>
    </row>
    <row r="288" spans="1:62" x14ac:dyDescent="0.2">
      <c r="A288" s="18" t="s">
        <v>248</v>
      </c>
      <c r="B288" s="18" t="s">
        <v>8</v>
      </c>
      <c r="C288" s="18" t="s">
        <v>285</v>
      </c>
      <c r="D288" s="111" t="s">
        <v>462</v>
      </c>
      <c r="E288" s="112"/>
      <c r="F288" s="112"/>
      <c r="G288" s="112"/>
      <c r="H288" s="112"/>
      <c r="I288" s="18" t="s">
        <v>781</v>
      </c>
      <c r="J288" s="26">
        <v>1</v>
      </c>
      <c r="K288" s="69">
        <v>0</v>
      </c>
      <c r="L288" s="26">
        <f>J288*K288</f>
        <v>0</v>
      </c>
      <c r="M288" s="32"/>
      <c r="Z288" s="12">
        <f>IF(AQ288="5",BJ288,0)</f>
        <v>0</v>
      </c>
      <c r="AB288" s="12">
        <f>IF(AQ288="1",BH288,0)</f>
        <v>0</v>
      </c>
      <c r="AC288" s="12">
        <f>IF(AQ288="1",BI288,0)</f>
        <v>0</v>
      </c>
      <c r="AD288" s="12">
        <f>IF(AQ288="7",BH288,0)</f>
        <v>0</v>
      </c>
      <c r="AE288" s="12">
        <f>IF(AQ288="7",BI288,0)</f>
        <v>0</v>
      </c>
      <c r="AF288" s="12">
        <f>IF(AQ288="2",BH288,0)</f>
        <v>0</v>
      </c>
      <c r="AG288" s="12">
        <f>IF(AQ288="2",BI288,0)</f>
        <v>0</v>
      </c>
      <c r="AH288" s="12">
        <f>IF(AQ288="0",BJ288,0)</f>
        <v>0</v>
      </c>
      <c r="AI288" s="27" t="s">
        <v>8</v>
      </c>
      <c r="AJ288" s="26">
        <f>IF(AN288=0,L288,0)</f>
        <v>0</v>
      </c>
      <c r="AK288" s="26">
        <f>IF(AN288=15,L288,0)</f>
        <v>0</v>
      </c>
      <c r="AL288" s="26">
        <f>IF(AN288=21,L288,0)</f>
        <v>0</v>
      </c>
      <c r="AN288" s="12">
        <v>21</v>
      </c>
      <c r="AO288" s="12">
        <f>K288*0</f>
        <v>0</v>
      </c>
      <c r="AP288" s="12">
        <f>K288*(1-0)</f>
        <v>0</v>
      </c>
      <c r="AQ288" s="32" t="s">
        <v>85</v>
      </c>
      <c r="AV288" s="12">
        <f>AW288+AX288</f>
        <v>0</v>
      </c>
      <c r="AW288" s="12">
        <f>J288*AO288</f>
        <v>0</v>
      </c>
      <c r="AX288" s="12">
        <f>J288*AP288</f>
        <v>0</v>
      </c>
      <c r="AY288" s="78" t="s">
        <v>886</v>
      </c>
      <c r="AZ288" s="78" t="s">
        <v>925</v>
      </c>
      <c r="BA288" s="27" t="s">
        <v>929</v>
      </c>
      <c r="BC288" s="12">
        <f>AW288+AX288</f>
        <v>0</v>
      </c>
      <c r="BD288" s="12">
        <f>K288/(100-BE288)*100</f>
        <v>0</v>
      </c>
      <c r="BE288" s="12">
        <v>0</v>
      </c>
      <c r="BF288" s="12">
        <f>288</f>
        <v>288</v>
      </c>
      <c r="BH288" s="26">
        <f>J288*AO288</f>
        <v>0</v>
      </c>
      <c r="BI288" s="26">
        <f>J288*AP288</f>
        <v>0</v>
      </c>
      <c r="BJ288" s="26">
        <f>J288*K288</f>
        <v>0</v>
      </c>
    </row>
    <row r="289" spans="1:62" ht="64.150000000000006" customHeight="1" x14ac:dyDescent="0.2">
      <c r="C289" s="61" t="s">
        <v>9</v>
      </c>
      <c r="D289" s="123" t="s">
        <v>471</v>
      </c>
      <c r="E289" s="124"/>
      <c r="F289" s="124"/>
      <c r="G289" s="124"/>
      <c r="H289" s="124"/>
      <c r="I289" s="124"/>
      <c r="J289" s="124"/>
      <c r="K289" s="159"/>
      <c r="L289" s="124"/>
      <c r="M289" s="124"/>
    </row>
    <row r="290" spans="1:62" x14ac:dyDescent="0.2">
      <c r="A290" s="18" t="s">
        <v>249</v>
      </c>
      <c r="B290" s="18" t="s">
        <v>8</v>
      </c>
      <c r="C290" s="18" t="s">
        <v>286</v>
      </c>
      <c r="D290" s="111" t="s">
        <v>464</v>
      </c>
      <c r="E290" s="112"/>
      <c r="F290" s="112"/>
      <c r="G290" s="112"/>
      <c r="H290" s="112"/>
      <c r="I290" s="18" t="s">
        <v>781</v>
      </c>
      <c r="J290" s="26">
        <v>1</v>
      </c>
      <c r="K290" s="69">
        <v>0</v>
      </c>
      <c r="L290" s="26">
        <f>J290*K290</f>
        <v>0</v>
      </c>
      <c r="M290" s="32"/>
      <c r="Z290" s="12">
        <f>IF(AQ290="5",BJ290,0)</f>
        <v>0</v>
      </c>
      <c r="AB290" s="12">
        <f>IF(AQ290="1",BH290,0)</f>
        <v>0</v>
      </c>
      <c r="AC290" s="12">
        <f>IF(AQ290="1",BI290,0)</f>
        <v>0</v>
      </c>
      <c r="AD290" s="12">
        <f>IF(AQ290="7",BH290,0)</f>
        <v>0</v>
      </c>
      <c r="AE290" s="12">
        <f>IF(AQ290="7",BI290,0)</f>
        <v>0</v>
      </c>
      <c r="AF290" s="12">
        <f>IF(AQ290="2",BH290,0)</f>
        <v>0</v>
      </c>
      <c r="AG290" s="12">
        <f>IF(AQ290="2",BI290,0)</f>
        <v>0</v>
      </c>
      <c r="AH290" s="12">
        <f>IF(AQ290="0",BJ290,0)</f>
        <v>0</v>
      </c>
      <c r="AI290" s="27" t="s">
        <v>8</v>
      </c>
      <c r="AJ290" s="26">
        <f>IF(AN290=0,L290,0)</f>
        <v>0</v>
      </c>
      <c r="AK290" s="26">
        <f>IF(AN290=15,L290,0)</f>
        <v>0</v>
      </c>
      <c r="AL290" s="26">
        <f>IF(AN290=21,L290,0)</f>
        <v>0</v>
      </c>
      <c r="AN290" s="12">
        <v>21</v>
      </c>
      <c r="AO290" s="12">
        <f>K290*0</f>
        <v>0</v>
      </c>
      <c r="AP290" s="12">
        <f>K290*(1-0)</f>
        <v>0</v>
      </c>
      <c r="AQ290" s="32" t="s">
        <v>85</v>
      </c>
      <c r="AV290" s="12">
        <f>AW290+AX290</f>
        <v>0</v>
      </c>
      <c r="AW290" s="12">
        <f>J290*AO290</f>
        <v>0</v>
      </c>
      <c r="AX290" s="12">
        <f>J290*AP290</f>
        <v>0</v>
      </c>
      <c r="AY290" s="78" t="s">
        <v>886</v>
      </c>
      <c r="AZ290" s="78" t="s">
        <v>925</v>
      </c>
      <c r="BA290" s="27" t="s">
        <v>929</v>
      </c>
      <c r="BC290" s="12">
        <f>AW290+AX290</f>
        <v>0</v>
      </c>
      <c r="BD290" s="12">
        <f>K290/(100-BE290)*100</f>
        <v>0</v>
      </c>
      <c r="BE290" s="12">
        <v>0</v>
      </c>
      <c r="BF290" s="12">
        <f>290</f>
        <v>290</v>
      </c>
      <c r="BH290" s="26">
        <f>J290*AO290</f>
        <v>0</v>
      </c>
      <c r="BI290" s="26">
        <f>J290*AP290</f>
        <v>0</v>
      </c>
      <c r="BJ290" s="26">
        <f>J290*K290</f>
        <v>0</v>
      </c>
    </row>
    <row r="291" spans="1:62" ht="102.6" customHeight="1" x14ac:dyDescent="0.2">
      <c r="C291" s="61" t="s">
        <v>9</v>
      </c>
      <c r="D291" s="123" t="s">
        <v>465</v>
      </c>
      <c r="E291" s="124"/>
      <c r="F291" s="124"/>
      <c r="G291" s="124"/>
      <c r="H291" s="124"/>
      <c r="I291" s="124"/>
      <c r="J291" s="124"/>
      <c r="K291" s="159"/>
      <c r="L291" s="124"/>
      <c r="M291" s="124"/>
    </row>
    <row r="292" spans="1:62" x14ac:dyDescent="0.2">
      <c r="A292" s="18" t="s">
        <v>250</v>
      </c>
      <c r="B292" s="18" t="s">
        <v>8</v>
      </c>
      <c r="C292" s="18" t="s">
        <v>287</v>
      </c>
      <c r="D292" s="111" t="s">
        <v>466</v>
      </c>
      <c r="E292" s="112"/>
      <c r="F292" s="112"/>
      <c r="G292" s="112"/>
      <c r="H292" s="112"/>
      <c r="I292" s="18" t="s">
        <v>781</v>
      </c>
      <c r="J292" s="26">
        <v>1</v>
      </c>
      <c r="K292" s="69">
        <v>0</v>
      </c>
      <c r="L292" s="26">
        <f>J292*K292</f>
        <v>0</v>
      </c>
      <c r="M292" s="32"/>
      <c r="Z292" s="12">
        <f>IF(AQ292="5",BJ292,0)</f>
        <v>0</v>
      </c>
      <c r="AB292" s="12">
        <f>IF(AQ292="1",BH292,0)</f>
        <v>0</v>
      </c>
      <c r="AC292" s="12">
        <f>IF(AQ292="1",BI292,0)</f>
        <v>0</v>
      </c>
      <c r="AD292" s="12">
        <f>IF(AQ292="7",BH292,0)</f>
        <v>0</v>
      </c>
      <c r="AE292" s="12">
        <f>IF(AQ292="7",BI292,0)</f>
        <v>0</v>
      </c>
      <c r="AF292" s="12">
        <f>IF(AQ292="2",BH292,0)</f>
        <v>0</v>
      </c>
      <c r="AG292" s="12">
        <f>IF(AQ292="2",BI292,0)</f>
        <v>0</v>
      </c>
      <c r="AH292" s="12">
        <f>IF(AQ292="0",BJ292,0)</f>
        <v>0</v>
      </c>
      <c r="AI292" s="27" t="s">
        <v>8</v>
      </c>
      <c r="AJ292" s="26">
        <f>IF(AN292=0,L292,0)</f>
        <v>0</v>
      </c>
      <c r="AK292" s="26">
        <f>IF(AN292=15,L292,0)</f>
        <v>0</v>
      </c>
      <c r="AL292" s="26">
        <f>IF(AN292=21,L292,0)</f>
        <v>0</v>
      </c>
      <c r="AN292" s="12">
        <v>21</v>
      </c>
      <c r="AO292" s="12">
        <f>K292*0</f>
        <v>0</v>
      </c>
      <c r="AP292" s="12">
        <f>K292*(1-0)</f>
        <v>0</v>
      </c>
      <c r="AQ292" s="32" t="s">
        <v>85</v>
      </c>
      <c r="AV292" s="12">
        <f>AW292+AX292</f>
        <v>0</v>
      </c>
      <c r="AW292" s="12">
        <f>J292*AO292</f>
        <v>0</v>
      </c>
      <c r="AX292" s="12">
        <f>J292*AP292</f>
        <v>0</v>
      </c>
      <c r="AY292" s="78" t="s">
        <v>886</v>
      </c>
      <c r="AZ292" s="78" t="s">
        <v>925</v>
      </c>
      <c r="BA292" s="27" t="s">
        <v>929</v>
      </c>
      <c r="BC292" s="12">
        <f>AW292+AX292</f>
        <v>0</v>
      </c>
      <c r="BD292" s="12">
        <f>K292/(100-BE292)*100</f>
        <v>0</v>
      </c>
      <c r="BE292" s="12">
        <v>0</v>
      </c>
      <c r="BF292" s="12">
        <f>292</f>
        <v>292</v>
      </c>
      <c r="BH292" s="26">
        <f>J292*AO292</f>
        <v>0</v>
      </c>
      <c r="BI292" s="26">
        <f>J292*AP292</f>
        <v>0</v>
      </c>
      <c r="BJ292" s="26">
        <f>J292*K292</f>
        <v>0</v>
      </c>
    </row>
    <row r="293" spans="1:62" x14ac:dyDescent="0.2">
      <c r="C293" s="61" t="s">
        <v>9</v>
      </c>
      <c r="D293" s="123" t="s">
        <v>467</v>
      </c>
      <c r="E293" s="124"/>
      <c r="F293" s="124"/>
      <c r="G293" s="124"/>
      <c r="H293" s="124"/>
      <c r="I293" s="124"/>
      <c r="J293" s="124"/>
      <c r="K293" s="159"/>
      <c r="L293" s="124"/>
      <c r="M293" s="124"/>
    </row>
    <row r="294" spans="1:62" x14ac:dyDescent="0.2">
      <c r="A294" s="18" t="s">
        <v>251</v>
      </c>
      <c r="B294" s="18" t="s">
        <v>8</v>
      </c>
      <c r="C294" s="18" t="s">
        <v>289</v>
      </c>
      <c r="D294" s="111" t="s">
        <v>469</v>
      </c>
      <c r="E294" s="112"/>
      <c r="F294" s="112"/>
      <c r="G294" s="112"/>
      <c r="H294" s="112"/>
      <c r="I294" s="18" t="s">
        <v>781</v>
      </c>
      <c r="J294" s="26">
        <v>1</v>
      </c>
      <c r="K294" s="69">
        <v>0</v>
      </c>
      <c r="L294" s="26">
        <f>J294*K294</f>
        <v>0</v>
      </c>
      <c r="M294" s="32"/>
      <c r="Z294" s="12">
        <f>IF(AQ294="5",BJ294,0)</f>
        <v>0</v>
      </c>
      <c r="AB294" s="12">
        <f>IF(AQ294="1",BH294,0)</f>
        <v>0</v>
      </c>
      <c r="AC294" s="12">
        <f>IF(AQ294="1",BI294,0)</f>
        <v>0</v>
      </c>
      <c r="AD294" s="12">
        <f>IF(AQ294="7",BH294,0)</f>
        <v>0</v>
      </c>
      <c r="AE294" s="12">
        <f>IF(AQ294="7",BI294,0)</f>
        <v>0</v>
      </c>
      <c r="AF294" s="12">
        <f>IF(AQ294="2",BH294,0)</f>
        <v>0</v>
      </c>
      <c r="AG294" s="12">
        <f>IF(AQ294="2",BI294,0)</f>
        <v>0</v>
      </c>
      <c r="AH294" s="12">
        <f>IF(AQ294="0",BJ294,0)</f>
        <v>0</v>
      </c>
      <c r="AI294" s="27" t="s">
        <v>8</v>
      </c>
      <c r="AJ294" s="26">
        <f>IF(AN294=0,L294,0)</f>
        <v>0</v>
      </c>
      <c r="AK294" s="26">
        <f>IF(AN294=15,L294,0)</f>
        <v>0</v>
      </c>
      <c r="AL294" s="26">
        <f>IF(AN294=21,L294,0)</f>
        <v>0</v>
      </c>
      <c r="AN294" s="12">
        <v>21</v>
      </c>
      <c r="AO294" s="12">
        <f>K294*0</f>
        <v>0</v>
      </c>
      <c r="AP294" s="12">
        <f>K294*(1-0)</f>
        <v>0</v>
      </c>
      <c r="AQ294" s="32" t="s">
        <v>85</v>
      </c>
      <c r="AV294" s="12">
        <f>AW294+AX294</f>
        <v>0</v>
      </c>
      <c r="AW294" s="12">
        <f>J294*AO294</f>
        <v>0</v>
      </c>
      <c r="AX294" s="12">
        <f>J294*AP294</f>
        <v>0</v>
      </c>
      <c r="AY294" s="78" t="s">
        <v>886</v>
      </c>
      <c r="AZ294" s="78" t="s">
        <v>925</v>
      </c>
      <c r="BA294" s="27" t="s">
        <v>929</v>
      </c>
      <c r="BC294" s="12">
        <f>AW294+AX294</f>
        <v>0</v>
      </c>
      <c r="BD294" s="12">
        <f>K294/(100-BE294)*100</f>
        <v>0</v>
      </c>
      <c r="BE294" s="12">
        <v>0</v>
      </c>
      <c r="BF294" s="12">
        <f>294</f>
        <v>294</v>
      </c>
      <c r="BH294" s="26">
        <f>J294*AO294</f>
        <v>0</v>
      </c>
      <c r="BI294" s="26">
        <f>J294*AP294</f>
        <v>0</v>
      </c>
      <c r="BJ294" s="26">
        <f>J294*K294</f>
        <v>0</v>
      </c>
    </row>
    <row r="295" spans="1:62" x14ac:dyDescent="0.2">
      <c r="A295" s="18" t="s">
        <v>252</v>
      </c>
      <c r="B295" s="18" t="s">
        <v>8</v>
      </c>
      <c r="C295" s="18" t="s">
        <v>290</v>
      </c>
      <c r="D295" s="111" t="s">
        <v>470</v>
      </c>
      <c r="E295" s="112"/>
      <c r="F295" s="112"/>
      <c r="G295" s="112"/>
      <c r="H295" s="112"/>
      <c r="I295" s="18" t="s">
        <v>781</v>
      </c>
      <c r="J295" s="26">
        <v>1</v>
      </c>
      <c r="K295" s="69">
        <v>0</v>
      </c>
      <c r="L295" s="26">
        <f>J295*K295</f>
        <v>0</v>
      </c>
      <c r="M295" s="32"/>
      <c r="Z295" s="12">
        <f>IF(AQ295="5",BJ295,0)</f>
        <v>0</v>
      </c>
      <c r="AB295" s="12">
        <f>IF(AQ295="1",BH295,0)</f>
        <v>0</v>
      </c>
      <c r="AC295" s="12">
        <f>IF(AQ295="1",BI295,0)</f>
        <v>0</v>
      </c>
      <c r="AD295" s="12">
        <f>IF(AQ295="7",BH295,0)</f>
        <v>0</v>
      </c>
      <c r="AE295" s="12">
        <f>IF(AQ295="7",BI295,0)</f>
        <v>0</v>
      </c>
      <c r="AF295" s="12">
        <f>IF(AQ295="2",BH295,0)</f>
        <v>0</v>
      </c>
      <c r="AG295" s="12">
        <f>IF(AQ295="2",BI295,0)</f>
        <v>0</v>
      </c>
      <c r="AH295" s="12">
        <f>IF(AQ295="0",BJ295,0)</f>
        <v>0</v>
      </c>
      <c r="AI295" s="27" t="s">
        <v>8</v>
      </c>
      <c r="AJ295" s="26">
        <f>IF(AN295=0,L295,0)</f>
        <v>0</v>
      </c>
      <c r="AK295" s="26">
        <f>IF(AN295=15,L295,0)</f>
        <v>0</v>
      </c>
      <c r="AL295" s="26">
        <f>IF(AN295=21,L295,0)</f>
        <v>0</v>
      </c>
      <c r="AN295" s="12">
        <v>21</v>
      </c>
      <c r="AO295" s="12">
        <f>K295*0</f>
        <v>0</v>
      </c>
      <c r="AP295" s="12">
        <f>K295*(1-0)</f>
        <v>0</v>
      </c>
      <c r="AQ295" s="32" t="s">
        <v>85</v>
      </c>
      <c r="AV295" s="12">
        <f>AW295+AX295</f>
        <v>0</v>
      </c>
      <c r="AW295" s="12">
        <f>J295*AO295</f>
        <v>0</v>
      </c>
      <c r="AX295" s="12">
        <f>J295*AP295</f>
        <v>0</v>
      </c>
      <c r="AY295" s="78" t="s">
        <v>886</v>
      </c>
      <c r="AZ295" s="78" t="s">
        <v>925</v>
      </c>
      <c r="BA295" s="27" t="s">
        <v>929</v>
      </c>
      <c r="BC295" s="12">
        <f>AW295+AX295</f>
        <v>0</v>
      </c>
      <c r="BD295" s="12">
        <f>K295/(100-BE295)*100</f>
        <v>0</v>
      </c>
      <c r="BE295" s="12">
        <v>0</v>
      </c>
      <c r="BF295" s="12">
        <f>295</f>
        <v>295</v>
      </c>
      <c r="BH295" s="26">
        <f>J295*AO295</f>
        <v>0</v>
      </c>
      <c r="BI295" s="26">
        <f>J295*AP295</f>
        <v>0</v>
      </c>
      <c r="BJ295" s="26">
        <f>J295*K295</f>
        <v>0</v>
      </c>
    </row>
    <row r="296" spans="1:62" x14ac:dyDescent="0.2">
      <c r="A296" s="18" t="s">
        <v>253</v>
      </c>
      <c r="B296" s="18" t="s">
        <v>8</v>
      </c>
      <c r="C296" s="18" t="s">
        <v>292</v>
      </c>
      <c r="D296" s="111" t="s">
        <v>473</v>
      </c>
      <c r="E296" s="112"/>
      <c r="F296" s="112"/>
      <c r="G296" s="112"/>
      <c r="H296" s="112"/>
      <c r="I296" s="18" t="s">
        <v>781</v>
      </c>
      <c r="J296" s="26">
        <v>1</v>
      </c>
      <c r="K296" s="69">
        <v>0</v>
      </c>
      <c r="L296" s="26">
        <f>J296*K296</f>
        <v>0</v>
      </c>
      <c r="M296" s="32"/>
      <c r="Z296" s="12">
        <f>IF(AQ296="5",BJ296,0)</f>
        <v>0</v>
      </c>
      <c r="AB296" s="12">
        <f>IF(AQ296="1",BH296,0)</f>
        <v>0</v>
      </c>
      <c r="AC296" s="12">
        <f>IF(AQ296="1",BI296,0)</f>
        <v>0</v>
      </c>
      <c r="AD296" s="12">
        <f>IF(AQ296="7",BH296,0)</f>
        <v>0</v>
      </c>
      <c r="AE296" s="12">
        <f>IF(AQ296="7",BI296,0)</f>
        <v>0</v>
      </c>
      <c r="AF296" s="12">
        <f>IF(AQ296="2",BH296,0)</f>
        <v>0</v>
      </c>
      <c r="AG296" s="12">
        <f>IF(AQ296="2",BI296,0)</f>
        <v>0</v>
      </c>
      <c r="AH296" s="12">
        <f>IF(AQ296="0",BJ296,0)</f>
        <v>0</v>
      </c>
      <c r="AI296" s="27" t="s">
        <v>8</v>
      </c>
      <c r="AJ296" s="26">
        <f>IF(AN296=0,L296,0)</f>
        <v>0</v>
      </c>
      <c r="AK296" s="26">
        <f>IF(AN296=15,L296,0)</f>
        <v>0</v>
      </c>
      <c r="AL296" s="26">
        <f>IF(AN296=21,L296,0)</f>
        <v>0</v>
      </c>
      <c r="AN296" s="12">
        <v>21</v>
      </c>
      <c r="AO296" s="12">
        <f>K296*0</f>
        <v>0</v>
      </c>
      <c r="AP296" s="12">
        <f>K296*(1-0)</f>
        <v>0</v>
      </c>
      <c r="AQ296" s="32" t="s">
        <v>85</v>
      </c>
      <c r="AV296" s="12">
        <f>AW296+AX296</f>
        <v>0</v>
      </c>
      <c r="AW296" s="12">
        <f>J296*AO296</f>
        <v>0</v>
      </c>
      <c r="AX296" s="12">
        <f>J296*AP296</f>
        <v>0</v>
      </c>
      <c r="AY296" s="78" t="s">
        <v>886</v>
      </c>
      <c r="AZ296" s="78" t="s">
        <v>925</v>
      </c>
      <c r="BA296" s="27" t="s">
        <v>929</v>
      </c>
      <c r="BC296" s="12">
        <f>AW296+AX296</f>
        <v>0</v>
      </c>
      <c r="BD296" s="12">
        <f>K296/(100-BE296)*100</f>
        <v>0</v>
      </c>
      <c r="BE296" s="12">
        <v>0</v>
      </c>
      <c r="BF296" s="12">
        <f>296</f>
        <v>296</v>
      </c>
      <c r="BH296" s="26">
        <f>J296*AO296</f>
        <v>0</v>
      </c>
      <c r="BI296" s="26">
        <f>J296*AP296</f>
        <v>0</v>
      </c>
      <c r="BJ296" s="26">
        <f>J296*K296</f>
        <v>0</v>
      </c>
    </row>
    <row r="297" spans="1:62" x14ac:dyDescent="0.2">
      <c r="A297" s="54"/>
      <c r="B297" s="19" t="s">
        <v>8</v>
      </c>
      <c r="C297" s="19" t="s">
        <v>13</v>
      </c>
      <c r="D297" s="117" t="s">
        <v>42</v>
      </c>
      <c r="E297" s="118"/>
      <c r="F297" s="118"/>
      <c r="G297" s="118"/>
      <c r="H297" s="118"/>
      <c r="I297" s="54" t="s">
        <v>5</v>
      </c>
      <c r="J297" s="54" t="s">
        <v>5</v>
      </c>
      <c r="K297" s="68" t="s">
        <v>5</v>
      </c>
      <c r="L297" s="80">
        <f>SUM(L298:L300)</f>
        <v>0</v>
      </c>
      <c r="M297" s="27"/>
      <c r="AI297" s="27" t="s">
        <v>8</v>
      </c>
      <c r="AS297" s="80">
        <f>SUM(AJ298:AJ300)</f>
        <v>0</v>
      </c>
      <c r="AT297" s="80">
        <f>SUM(AK298:AK300)</f>
        <v>0</v>
      </c>
      <c r="AU297" s="80">
        <f>SUM(AL298:AL300)</f>
        <v>0</v>
      </c>
    </row>
    <row r="298" spans="1:62" x14ac:dyDescent="0.2">
      <c r="A298" s="18" t="s">
        <v>254</v>
      </c>
      <c r="B298" s="18" t="s">
        <v>8</v>
      </c>
      <c r="C298" s="18" t="s">
        <v>293</v>
      </c>
      <c r="D298" s="111" t="s">
        <v>474</v>
      </c>
      <c r="E298" s="112"/>
      <c r="F298" s="112"/>
      <c r="G298" s="112"/>
      <c r="H298" s="112"/>
      <c r="I298" s="18" t="s">
        <v>782</v>
      </c>
      <c r="J298" s="26">
        <v>78</v>
      </c>
      <c r="K298" s="69">
        <v>0</v>
      </c>
      <c r="L298" s="26">
        <f>J298*K298</f>
        <v>0</v>
      </c>
      <c r="M298" s="32" t="s">
        <v>874</v>
      </c>
      <c r="Z298" s="12">
        <f>IF(AQ298="5",BJ298,0)</f>
        <v>0</v>
      </c>
      <c r="AB298" s="12">
        <f>IF(AQ298="1",BH298,0)</f>
        <v>0</v>
      </c>
      <c r="AC298" s="12">
        <f>IF(AQ298="1",BI298,0)</f>
        <v>0</v>
      </c>
      <c r="AD298" s="12">
        <f>IF(AQ298="7",BH298,0)</f>
        <v>0</v>
      </c>
      <c r="AE298" s="12">
        <f>IF(AQ298="7",BI298,0)</f>
        <v>0</v>
      </c>
      <c r="AF298" s="12">
        <f>IF(AQ298="2",BH298,0)</f>
        <v>0</v>
      </c>
      <c r="AG298" s="12">
        <f>IF(AQ298="2",BI298,0)</f>
        <v>0</v>
      </c>
      <c r="AH298" s="12">
        <f>IF(AQ298="0",BJ298,0)</f>
        <v>0</v>
      </c>
      <c r="AI298" s="27" t="s">
        <v>8</v>
      </c>
      <c r="AJ298" s="26">
        <f>IF(AN298=0,L298,0)</f>
        <v>0</v>
      </c>
      <c r="AK298" s="26">
        <f>IF(AN298=15,L298,0)</f>
        <v>0</v>
      </c>
      <c r="AL298" s="26">
        <f>IF(AN298=21,L298,0)</f>
        <v>0</v>
      </c>
      <c r="AN298" s="12">
        <v>21</v>
      </c>
      <c r="AO298" s="12">
        <f>K298*0</f>
        <v>0</v>
      </c>
      <c r="AP298" s="12">
        <f>K298*(1-0)</f>
        <v>0</v>
      </c>
      <c r="AQ298" s="32" t="s">
        <v>85</v>
      </c>
      <c r="AV298" s="12">
        <f>AW298+AX298</f>
        <v>0</v>
      </c>
      <c r="AW298" s="12">
        <f>J298*AO298</f>
        <v>0</v>
      </c>
      <c r="AX298" s="12">
        <f>J298*AP298</f>
        <v>0</v>
      </c>
      <c r="AY298" s="78" t="s">
        <v>887</v>
      </c>
      <c r="AZ298" s="78" t="s">
        <v>925</v>
      </c>
      <c r="BA298" s="27" t="s">
        <v>929</v>
      </c>
      <c r="BC298" s="12">
        <f>AW298+AX298</f>
        <v>0</v>
      </c>
      <c r="BD298" s="12">
        <f>K298/(100-BE298)*100</f>
        <v>0</v>
      </c>
      <c r="BE298" s="12">
        <v>0</v>
      </c>
      <c r="BF298" s="12">
        <f>298</f>
        <v>298</v>
      </c>
      <c r="BH298" s="26">
        <f>J298*AO298</f>
        <v>0</v>
      </c>
      <c r="BI298" s="26">
        <f>J298*AP298</f>
        <v>0</v>
      </c>
      <c r="BJ298" s="26">
        <f>J298*K298</f>
        <v>0</v>
      </c>
    </row>
    <row r="299" spans="1:62" x14ac:dyDescent="0.2">
      <c r="A299" s="18" t="s">
        <v>255</v>
      </c>
      <c r="B299" s="18" t="s">
        <v>8</v>
      </c>
      <c r="C299" s="18" t="s">
        <v>294</v>
      </c>
      <c r="D299" s="111" t="s">
        <v>475</v>
      </c>
      <c r="E299" s="112"/>
      <c r="F299" s="112"/>
      <c r="G299" s="112"/>
      <c r="H299" s="112"/>
      <c r="I299" s="18" t="s">
        <v>783</v>
      </c>
      <c r="J299" s="26">
        <v>390.5</v>
      </c>
      <c r="K299" s="69">
        <v>0</v>
      </c>
      <c r="L299" s="26">
        <f>J299*K299</f>
        <v>0</v>
      </c>
      <c r="M299" s="32" t="s">
        <v>874</v>
      </c>
      <c r="Z299" s="12">
        <f>IF(AQ299="5",BJ299,0)</f>
        <v>0</v>
      </c>
      <c r="AB299" s="12">
        <f>IF(AQ299="1",BH299,0)</f>
        <v>0</v>
      </c>
      <c r="AC299" s="12">
        <f>IF(AQ299="1",BI299,0)</f>
        <v>0</v>
      </c>
      <c r="AD299" s="12">
        <f>IF(AQ299="7",BH299,0)</f>
        <v>0</v>
      </c>
      <c r="AE299" s="12">
        <f>IF(AQ299="7",BI299,0)</f>
        <v>0</v>
      </c>
      <c r="AF299" s="12">
        <f>IF(AQ299="2",BH299,0)</f>
        <v>0</v>
      </c>
      <c r="AG299" s="12">
        <f>IF(AQ299="2",BI299,0)</f>
        <v>0</v>
      </c>
      <c r="AH299" s="12">
        <f>IF(AQ299="0",BJ299,0)</f>
        <v>0</v>
      </c>
      <c r="AI299" s="27" t="s">
        <v>8</v>
      </c>
      <c r="AJ299" s="26">
        <f>IF(AN299=0,L299,0)</f>
        <v>0</v>
      </c>
      <c r="AK299" s="26">
        <f>IF(AN299=15,L299,0)</f>
        <v>0</v>
      </c>
      <c r="AL299" s="26">
        <f>IF(AN299=21,L299,0)</f>
        <v>0</v>
      </c>
      <c r="AN299" s="12">
        <v>21</v>
      </c>
      <c r="AO299" s="12">
        <f>K299*0</f>
        <v>0</v>
      </c>
      <c r="AP299" s="12">
        <f>K299*(1-0)</f>
        <v>0</v>
      </c>
      <c r="AQ299" s="32" t="s">
        <v>85</v>
      </c>
      <c r="AV299" s="12">
        <f>AW299+AX299</f>
        <v>0</v>
      </c>
      <c r="AW299" s="12">
        <f>J299*AO299</f>
        <v>0</v>
      </c>
      <c r="AX299" s="12">
        <f>J299*AP299</f>
        <v>0</v>
      </c>
      <c r="AY299" s="78" t="s">
        <v>887</v>
      </c>
      <c r="AZ299" s="78" t="s">
        <v>925</v>
      </c>
      <c r="BA299" s="27" t="s">
        <v>929</v>
      </c>
      <c r="BC299" s="12">
        <f>AW299+AX299</f>
        <v>0</v>
      </c>
      <c r="BD299" s="12">
        <f>K299/(100-BE299)*100</f>
        <v>0</v>
      </c>
      <c r="BE299" s="12">
        <v>0</v>
      </c>
      <c r="BF299" s="12">
        <f>299</f>
        <v>299</v>
      </c>
      <c r="BH299" s="26">
        <f>J299*AO299</f>
        <v>0</v>
      </c>
      <c r="BI299" s="26">
        <f>J299*AP299</f>
        <v>0</v>
      </c>
      <c r="BJ299" s="26">
        <f>J299*K299</f>
        <v>0</v>
      </c>
    </row>
    <row r="300" spans="1:62" x14ac:dyDescent="0.2">
      <c r="A300" s="18" t="s">
        <v>256</v>
      </c>
      <c r="B300" s="18" t="s">
        <v>8</v>
      </c>
      <c r="C300" s="18" t="s">
        <v>295</v>
      </c>
      <c r="D300" s="111" t="s">
        <v>476</v>
      </c>
      <c r="E300" s="112"/>
      <c r="F300" s="112"/>
      <c r="G300" s="112"/>
      <c r="H300" s="112"/>
      <c r="I300" s="18" t="s">
        <v>783</v>
      </c>
      <c r="J300" s="26">
        <v>390.5</v>
      </c>
      <c r="K300" s="69">
        <v>0</v>
      </c>
      <c r="L300" s="26">
        <f>J300*K300</f>
        <v>0</v>
      </c>
      <c r="M300" s="32" t="s">
        <v>874</v>
      </c>
      <c r="Z300" s="12">
        <f>IF(AQ300="5",BJ300,0)</f>
        <v>0</v>
      </c>
      <c r="AB300" s="12">
        <f>IF(AQ300="1",BH300,0)</f>
        <v>0</v>
      </c>
      <c r="AC300" s="12">
        <f>IF(AQ300="1",BI300,0)</f>
        <v>0</v>
      </c>
      <c r="AD300" s="12">
        <f>IF(AQ300="7",BH300,0)</f>
        <v>0</v>
      </c>
      <c r="AE300" s="12">
        <f>IF(AQ300="7",BI300,0)</f>
        <v>0</v>
      </c>
      <c r="AF300" s="12">
        <f>IF(AQ300="2",BH300,0)</f>
        <v>0</v>
      </c>
      <c r="AG300" s="12">
        <f>IF(AQ300="2",BI300,0)</f>
        <v>0</v>
      </c>
      <c r="AH300" s="12">
        <f>IF(AQ300="0",BJ300,0)</f>
        <v>0</v>
      </c>
      <c r="AI300" s="27" t="s">
        <v>8</v>
      </c>
      <c r="AJ300" s="26">
        <f>IF(AN300=0,L300,0)</f>
        <v>0</v>
      </c>
      <c r="AK300" s="26">
        <f>IF(AN300=15,L300,0)</f>
        <v>0</v>
      </c>
      <c r="AL300" s="26">
        <f>IF(AN300=21,L300,0)</f>
        <v>0</v>
      </c>
      <c r="AN300" s="12">
        <v>21</v>
      </c>
      <c r="AO300" s="12">
        <f>K300*0</f>
        <v>0</v>
      </c>
      <c r="AP300" s="12">
        <f>K300*(1-0)</f>
        <v>0</v>
      </c>
      <c r="AQ300" s="32" t="s">
        <v>85</v>
      </c>
      <c r="AV300" s="12">
        <f>AW300+AX300</f>
        <v>0</v>
      </c>
      <c r="AW300" s="12">
        <f>J300*AO300</f>
        <v>0</v>
      </c>
      <c r="AX300" s="12">
        <f>J300*AP300</f>
        <v>0</v>
      </c>
      <c r="AY300" s="78" t="s">
        <v>887</v>
      </c>
      <c r="AZ300" s="78" t="s">
        <v>925</v>
      </c>
      <c r="BA300" s="27" t="s">
        <v>929</v>
      </c>
      <c r="BC300" s="12">
        <f>AW300+AX300</f>
        <v>0</v>
      </c>
      <c r="BD300" s="12">
        <f>K300/(100-BE300)*100</f>
        <v>0</v>
      </c>
      <c r="BE300" s="12">
        <v>0</v>
      </c>
      <c r="BF300" s="12">
        <f>300</f>
        <v>300</v>
      </c>
      <c r="BH300" s="26">
        <f>J300*AO300</f>
        <v>0</v>
      </c>
      <c r="BI300" s="26">
        <f>J300*AP300</f>
        <v>0</v>
      </c>
      <c r="BJ300" s="26">
        <f>J300*K300</f>
        <v>0</v>
      </c>
    </row>
    <row r="301" spans="1:62" ht="25.7" customHeight="1" x14ac:dyDescent="0.2">
      <c r="C301" s="62" t="s">
        <v>296</v>
      </c>
      <c r="D301" s="113" t="s">
        <v>477</v>
      </c>
      <c r="E301" s="114"/>
      <c r="F301" s="114"/>
      <c r="G301" s="114"/>
      <c r="H301" s="114"/>
      <c r="I301" s="114"/>
      <c r="J301" s="114"/>
      <c r="K301" s="154"/>
      <c r="L301" s="114"/>
      <c r="M301" s="114"/>
    </row>
    <row r="302" spans="1:62" x14ac:dyDescent="0.2">
      <c r="A302" s="54"/>
      <c r="B302" s="19" t="s">
        <v>8</v>
      </c>
      <c r="C302" s="19" t="s">
        <v>14</v>
      </c>
      <c r="D302" s="117" t="s">
        <v>43</v>
      </c>
      <c r="E302" s="118"/>
      <c r="F302" s="118"/>
      <c r="G302" s="118"/>
      <c r="H302" s="118"/>
      <c r="I302" s="54" t="s">
        <v>5</v>
      </c>
      <c r="J302" s="54" t="s">
        <v>5</v>
      </c>
      <c r="K302" s="68" t="s">
        <v>5</v>
      </c>
      <c r="L302" s="80">
        <f>SUM(L303:L309)</f>
        <v>0</v>
      </c>
      <c r="M302" s="27"/>
      <c r="AI302" s="27" t="s">
        <v>8</v>
      </c>
      <c r="AS302" s="80">
        <f>SUM(AJ303:AJ309)</f>
        <v>0</v>
      </c>
      <c r="AT302" s="80">
        <f>SUM(AK303:AK309)</f>
        <v>0</v>
      </c>
      <c r="AU302" s="80">
        <f>SUM(AL303:AL309)</f>
        <v>0</v>
      </c>
    </row>
    <row r="303" spans="1:62" x14ac:dyDescent="0.2">
      <c r="A303" s="18" t="s">
        <v>257</v>
      </c>
      <c r="B303" s="18" t="s">
        <v>8</v>
      </c>
      <c r="C303" s="18" t="s">
        <v>300</v>
      </c>
      <c r="D303" s="111" t="s">
        <v>484</v>
      </c>
      <c r="E303" s="112"/>
      <c r="F303" s="112"/>
      <c r="G303" s="112"/>
      <c r="H303" s="112"/>
      <c r="I303" s="18" t="s">
        <v>785</v>
      </c>
      <c r="J303" s="26">
        <v>3.35</v>
      </c>
      <c r="K303" s="69">
        <v>0</v>
      </c>
      <c r="L303" s="26">
        <f>J303*K303</f>
        <v>0</v>
      </c>
      <c r="M303" s="32" t="s">
        <v>874</v>
      </c>
      <c r="Z303" s="12">
        <f>IF(AQ303="5",BJ303,0)</f>
        <v>0</v>
      </c>
      <c r="AB303" s="12">
        <f>IF(AQ303="1",BH303,0)</f>
        <v>0</v>
      </c>
      <c r="AC303" s="12">
        <f>IF(AQ303="1",BI303,0)</f>
        <v>0</v>
      </c>
      <c r="AD303" s="12">
        <f>IF(AQ303="7",BH303,0)</f>
        <v>0</v>
      </c>
      <c r="AE303" s="12">
        <f>IF(AQ303="7",BI303,0)</f>
        <v>0</v>
      </c>
      <c r="AF303" s="12">
        <f>IF(AQ303="2",BH303,0)</f>
        <v>0</v>
      </c>
      <c r="AG303" s="12">
        <f>IF(AQ303="2",BI303,0)</f>
        <v>0</v>
      </c>
      <c r="AH303" s="12">
        <f>IF(AQ303="0",BJ303,0)</f>
        <v>0</v>
      </c>
      <c r="AI303" s="27" t="s">
        <v>8</v>
      </c>
      <c r="AJ303" s="26">
        <f>IF(AN303=0,L303,0)</f>
        <v>0</v>
      </c>
      <c r="AK303" s="26">
        <f>IF(AN303=15,L303,0)</f>
        <v>0</v>
      </c>
      <c r="AL303" s="26">
        <f>IF(AN303=21,L303,0)</f>
        <v>0</v>
      </c>
      <c r="AN303" s="12">
        <v>21</v>
      </c>
      <c r="AO303" s="12">
        <f>K303*0</f>
        <v>0</v>
      </c>
      <c r="AP303" s="12">
        <f>K303*(1-0)</f>
        <v>0</v>
      </c>
      <c r="AQ303" s="32" t="s">
        <v>85</v>
      </c>
      <c r="AV303" s="12">
        <f>AW303+AX303</f>
        <v>0</v>
      </c>
      <c r="AW303" s="12">
        <f>J303*AO303</f>
        <v>0</v>
      </c>
      <c r="AX303" s="12">
        <f>J303*AP303</f>
        <v>0</v>
      </c>
      <c r="AY303" s="78" t="s">
        <v>888</v>
      </c>
      <c r="AZ303" s="78" t="s">
        <v>925</v>
      </c>
      <c r="BA303" s="27" t="s">
        <v>929</v>
      </c>
      <c r="BC303" s="12">
        <f>AW303+AX303</f>
        <v>0</v>
      </c>
      <c r="BD303" s="12">
        <f>K303/(100-BE303)*100</f>
        <v>0</v>
      </c>
      <c r="BE303" s="12">
        <v>0</v>
      </c>
      <c r="BF303" s="12">
        <f>303</f>
        <v>303</v>
      </c>
      <c r="BH303" s="26">
        <f>J303*AO303</f>
        <v>0</v>
      </c>
      <c r="BI303" s="26">
        <f>J303*AP303</f>
        <v>0</v>
      </c>
      <c r="BJ303" s="26">
        <f>J303*K303</f>
        <v>0</v>
      </c>
    </row>
    <row r="304" spans="1:62" ht="51.4" customHeight="1" x14ac:dyDescent="0.2">
      <c r="C304" s="62" t="s">
        <v>296</v>
      </c>
      <c r="D304" s="113" t="s">
        <v>846</v>
      </c>
      <c r="E304" s="114"/>
      <c r="F304" s="114"/>
      <c r="G304" s="114"/>
      <c r="H304" s="114"/>
      <c r="I304" s="114"/>
      <c r="J304" s="114"/>
      <c r="K304" s="154"/>
      <c r="L304" s="114"/>
      <c r="M304" s="114"/>
    </row>
    <row r="305" spans="1:62" ht="51.4" customHeight="1" x14ac:dyDescent="0.2">
      <c r="D305" s="113" t="s">
        <v>847</v>
      </c>
      <c r="E305" s="114"/>
      <c r="F305" s="114"/>
      <c r="G305" s="114"/>
      <c r="H305" s="114"/>
      <c r="I305" s="114"/>
      <c r="J305" s="114"/>
      <c r="K305" s="154"/>
      <c r="L305" s="114"/>
      <c r="M305" s="114"/>
    </row>
    <row r="306" spans="1:62" ht="51.4" customHeight="1" x14ac:dyDescent="0.2">
      <c r="D306" s="113" t="s">
        <v>848</v>
      </c>
      <c r="E306" s="114"/>
      <c r="F306" s="114"/>
      <c r="G306" s="114"/>
      <c r="H306" s="114"/>
      <c r="I306" s="114"/>
      <c r="J306" s="114"/>
      <c r="K306" s="154"/>
      <c r="L306" s="114"/>
      <c r="M306" s="114"/>
    </row>
    <row r="307" spans="1:62" x14ac:dyDescent="0.2">
      <c r="D307" s="113" t="s">
        <v>849</v>
      </c>
      <c r="E307" s="114"/>
      <c r="F307" s="114"/>
      <c r="G307" s="114"/>
      <c r="H307" s="114"/>
      <c r="I307" s="114"/>
      <c r="J307" s="114"/>
      <c r="K307" s="154"/>
      <c r="L307" s="114"/>
      <c r="M307" s="114"/>
    </row>
    <row r="308" spans="1:62" x14ac:dyDescent="0.2">
      <c r="A308" s="18" t="s">
        <v>258</v>
      </c>
      <c r="B308" s="18" t="s">
        <v>8</v>
      </c>
      <c r="C308" s="18" t="s">
        <v>301</v>
      </c>
      <c r="D308" s="111" t="s">
        <v>491</v>
      </c>
      <c r="E308" s="112"/>
      <c r="F308" s="112"/>
      <c r="G308" s="112"/>
      <c r="H308" s="112"/>
      <c r="I308" s="18" t="s">
        <v>785</v>
      </c>
      <c r="J308" s="26">
        <v>13.75</v>
      </c>
      <c r="K308" s="69">
        <v>0</v>
      </c>
      <c r="L308" s="26">
        <f>J308*K308</f>
        <v>0</v>
      </c>
      <c r="M308" s="32" t="s">
        <v>874</v>
      </c>
      <c r="Z308" s="12">
        <f>IF(AQ308="5",BJ308,0)</f>
        <v>0</v>
      </c>
      <c r="AB308" s="12">
        <f>IF(AQ308="1",BH308,0)</f>
        <v>0</v>
      </c>
      <c r="AC308" s="12">
        <f>IF(AQ308="1",BI308,0)</f>
        <v>0</v>
      </c>
      <c r="AD308" s="12">
        <f>IF(AQ308="7",BH308,0)</f>
        <v>0</v>
      </c>
      <c r="AE308" s="12">
        <f>IF(AQ308="7",BI308,0)</f>
        <v>0</v>
      </c>
      <c r="AF308" s="12">
        <f>IF(AQ308="2",BH308,0)</f>
        <v>0</v>
      </c>
      <c r="AG308" s="12">
        <f>IF(AQ308="2",BI308,0)</f>
        <v>0</v>
      </c>
      <c r="AH308" s="12">
        <f>IF(AQ308="0",BJ308,0)</f>
        <v>0</v>
      </c>
      <c r="AI308" s="27" t="s">
        <v>8</v>
      </c>
      <c r="AJ308" s="26">
        <f>IF(AN308=0,L308,0)</f>
        <v>0</v>
      </c>
      <c r="AK308" s="26">
        <f>IF(AN308=15,L308,0)</f>
        <v>0</v>
      </c>
      <c r="AL308" s="26">
        <f>IF(AN308=21,L308,0)</f>
        <v>0</v>
      </c>
      <c r="AN308" s="12">
        <v>21</v>
      </c>
      <c r="AO308" s="12">
        <f>K308*0</f>
        <v>0</v>
      </c>
      <c r="AP308" s="12">
        <f>K308*(1-0)</f>
        <v>0</v>
      </c>
      <c r="AQ308" s="32" t="s">
        <v>85</v>
      </c>
      <c r="AV308" s="12">
        <f>AW308+AX308</f>
        <v>0</v>
      </c>
      <c r="AW308" s="12">
        <f>J308*AO308</f>
        <v>0</v>
      </c>
      <c r="AX308" s="12">
        <f>J308*AP308</f>
        <v>0</v>
      </c>
      <c r="AY308" s="78" t="s">
        <v>888</v>
      </c>
      <c r="AZ308" s="78" t="s">
        <v>925</v>
      </c>
      <c r="BA308" s="27" t="s">
        <v>929</v>
      </c>
      <c r="BC308" s="12">
        <f>AW308+AX308</f>
        <v>0</v>
      </c>
      <c r="BD308" s="12">
        <f>K308/(100-BE308)*100</f>
        <v>0</v>
      </c>
      <c r="BE308" s="12">
        <v>0</v>
      </c>
      <c r="BF308" s="12">
        <f>308</f>
        <v>308</v>
      </c>
      <c r="BH308" s="26">
        <f>J308*AO308</f>
        <v>0</v>
      </c>
      <c r="BI308" s="26">
        <f>J308*AP308</f>
        <v>0</v>
      </c>
      <c r="BJ308" s="26">
        <f>J308*K308</f>
        <v>0</v>
      </c>
    </row>
    <row r="309" spans="1:62" x14ac:dyDescent="0.2">
      <c r="A309" s="18" t="s">
        <v>259</v>
      </c>
      <c r="B309" s="18" t="s">
        <v>8</v>
      </c>
      <c r="C309" s="18" t="s">
        <v>302</v>
      </c>
      <c r="D309" s="111" t="s">
        <v>494</v>
      </c>
      <c r="E309" s="112"/>
      <c r="F309" s="112"/>
      <c r="G309" s="112"/>
      <c r="H309" s="112"/>
      <c r="I309" s="18" t="s">
        <v>785</v>
      </c>
      <c r="J309" s="26">
        <v>13.75</v>
      </c>
      <c r="K309" s="69">
        <v>0</v>
      </c>
      <c r="L309" s="26">
        <f>J309*K309</f>
        <v>0</v>
      </c>
      <c r="M309" s="32" t="s">
        <v>874</v>
      </c>
      <c r="Z309" s="12">
        <f>IF(AQ309="5",BJ309,0)</f>
        <v>0</v>
      </c>
      <c r="AB309" s="12">
        <f>IF(AQ309="1",BH309,0)</f>
        <v>0</v>
      </c>
      <c r="AC309" s="12">
        <f>IF(AQ309="1",BI309,0)</f>
        <v>0</v>
      </c>
      <c r="AD309" s="12">
        <f>IF(AQ309="7",BH309,0)</f>
        <v>0</v>
      </c>
      <c r="AE309" s="12">
        <f>IF(AQ309="7",BI309,0)</f>
        <v>0</v>
      </c>
      <c r="AF309" s="12">
        <f>IF(AQ309="2",BH309,0)</f>
        <v>0</v>
      </c>
      <c r="AG309" s="12">
        <f>IF(AQ309="2",BI309,0)</f>
        <v>0</v>
      </c>
      <c r="AH309" s="12">
        <f>IF(AQ309="0",BJ309,0)</f>
        <v>0</v>
      </c>
      <c r="AI309" s="27" t="s">
        <v>8</v>
      </c>
      <c r="AJ309" s="26">
        <f>IF(AN309=0,L309,0)</f>
        <v>0</v>
      </c>
      <c r="AK309" s="26">
        <f>IF(AN309=15,L309,0)</f>
        <v>0</v>
      </c>
      <c r="AL309" s="26">
        <f>IF(AN309=21,L309,0)</f>
        <v>0</v>
      </c>
      <c r="AN309" s="12">
        <v>21</v>
      </c>
      <c r="AO309" s="12">
        <f>K309*0</f>
        <v>0</v>
      </c>
      <c r="AP309" s="12">
        <f>K309*(1-0)</f>
        <v>0</v>
      </c>
      <c r="AQ309" s="32" t="s">
        <v>85</v>
      </c>
      <c r="AV309" s="12">
        <f>AW309+AX309</f>
        <v>0</v>
      </c>
      <c r="AW309" s="12">
        <f>J309*AO309</f>
        <v>0</v>
      </c>
      <c r="AX309" s="12">
        <f>J309*AP309</f>
        <v>0</v>
      </c>
      <c r="AY309" s="78" t="s">
        <v>888</v>
      </c>
      <c r="AZ309" s="78" t="s">
        <v>925</v>
      </c>
      <c r="BA309" s="27" t="s">
        <v>929</v>
      </c>
      <c r="BC309" s="12">
        <f>AW309+AX309</f>
        <v>0</v>
      </c>
      <c r="BD309" s="12">
        <f>K309/(100-BE309)*100</f>
        <v>0</v>
      </c>
      <c r="BE309" s="12">
        <v>0</v>
      </c>
      <c r="BF309" s="12">
        <f>309</f>
        <v>309</v>
      </c>
      <c r="BH309" s="26">
        <f>J309*AO309</f>
        <v>0</v>
      </c>
      <c r="BI309" s="26">
        <f>J309*AP309</f>
        <v>0</v>
      </c>
      <c r="BJ309" s="26">
        <f>J309*K309</f>
        <v>0</v>
      </c>
    </row>
    <row r="310" spans="1:62" x14ac:dyDescent="0.2">
      <c r="C310" s="62" t="s">
        <v>296</v>
      </c>
      <c r="D310" s="113" t="s">
        <v>495</v>
      </c>
      <c r="E310" s="114"/>
      <c r="F310" s="114"/>
      <c r="G310" s="114"/>
      <c r="H310" s="114"/>
      <c r="I310" s="114"/>
      <c r="J310" s="114"/>
      <c r="K310" s="154"/>
      <c r="L310" s="114"/>
      <c r="M310" s="114"/>
    </row>
    <row r="311" spans="1:62" x14ac:dyDescent="0.2">
      <c r="A311" s="54"/>
      <c r="B311" s="19" t="s">
        <v>8</v>
      </c>
      <c r="C311" s="19" t="s">
        <v>15</v>
      </c>
      <c r="D311" s="117" t="s">
        <v>44</v>
      </c>
      <c r="E311" s="118"/>
      <c r="F311" s="118"/>
      <c r="G311" s="118"/>
      <c r="H311" s="118"/>
      <c r="I311" s="54" t="s">
        <v>5</v>
      </c>
      <c r="J311" s="54" t="s">
        <v>5</v>
      </c>
      <c r="K311" s="68" t="s">
        <v>5</v>
      </c>
      <c r="L311" s="80">
        <f>SUM(L312:L312)</f>
        <v>0</v>
      </c>
      <c r="M311" s="27"/>
      <c r="AI311" s="27" t="s">
        <v>8</v>
      </c>
      <c r="AS311" s="80">
        <f>SUM(AJ312:AJ312)</f>
        <v>0</v>
      </c>
      <c r="AT311" s="80">
        <f>SUM(AK312:AK312)</f>
        <v>0</v>
      </c>
      <c r="AU311" s="80">
        <f>SUM(AL312:AL312)</f>
        <v>0</v>
      </c>
    </row>
    <row r="312" spans="1:62" x14ac:dyDescent="0.2">
      <c r="A312" s="18" t="s">
        <v>260</v>
      </c>
      <c r="B312" s="18" t="s">
        <v>8</v>
      </c>
      <c r="C312" s="18" t="s">
        <v>304</v>
      </c>
      <c r="D312" s="111" t="s">
        <v>500</v>
      </c>
      <c r="E312" s="112"/>
      <c r="F312" s="112"/>
      <c r="G312" s="112"/>
      <c r="H312" s="112"/>
      <c r="I312" s="18" t="s">
        <v>785</v>
      </c>
      <c r="J312" s="26">
        <v>3.5</v>
      </c>
      <c r="K312" s="69">
        <v>0</v>
      </c>
      <c r="L312" s="26">
        <f>J312*K312</f>
        <v>0</v>
      </c>
      <c r="M312" s="32" t="s">
        <v>874</v>
      </c>
      <c r="Z312" s="12">
        <f>IF(AQ312="5",BJ312,0)</f>
        <v>0</v>
      </c>
      <c r="AB312" s="12">
        <f>IF(AQ312="1",BH312,0)</f>
        <v>0</v>
      </c>
      <c r="AC312" s="12">
        <f>IF(AQ312="1",BI312,0)</f>
        <v>0</v>
      </c>
      <c r="AD312" s="12">
        <f>IF(AQ312="7",BH312,0)</f>
        <v>0</v>
      </c>
      <c r="AE312" s="12">
        <f>IF(AQ312="7",BI312,0)</f>
        <v>0</v>
      </c>
      <c r="AF312" s="12">
        <f>IF(AQ312="2",BH312,0)</f>
        <v>0</v>
      </c>
      <c r="AG312" s="12">
        <f>IF(AQ312="2",BI312,0)</f>
        <v>0</v>
      </c>
      <c r="AH312" s="12">
        <f>IF(AQ312="0",BJ312,0)</f>
        <v>0</v>
      </c>
      <c r="AI312" s="27" t="s">
        <v>8</v>
      </c>
      <c r="AJ312" s="26">
        <f>IF(AN312=0,L312,0)</f>
        <v>0</v>
      </c>
      <c r="AK312" s="26">
        <f>IF(AN312=15,L312,0)</f>
        <v>0</v>
      </c>
      <c r="AL312" s="26">
        <f>IF(AN312=21,L312,0)</f>
        <v>0</v>
      </c>
      <c r="AN312" s="12">
        <v>21</v>
      </c>
      <c r="AO312" s="12">
        <f>K312*0</f>
        <v>0</v>
      </c>
      <c r="AP312" s="12">
        <f>K312*(1-0)</f>
        <v>0</v>
      </c>
      <c r="AQ312" s="32" t="s">
        <v>85</v>
      </c>
      <c r="AV312" s="12">
        <f>AW312+AX312</f>
        <v>0</v>
      </c>
      <c r="AW312" s="12">
        <f>J312*AO312</f>
        <v>0</v>
      </c>
      <c r="AX312" s="12">
        <f>J312*AP312</f>
        <v>0</v>
      </c>
      <c r="AY312" s="78" t="s">
        <v>889</v>
      </c>
      <c r="AZ312" s="78" t="s">
        <v>925</v>
      </c>
      <c r="BA312" s="27" t="s">
        <v>929</v>
      </c>
      <c r="BC312" s="12">
        <f>AW312+AX312</f>
        <v>0</v>
      </c>
      <c r="BD312" s="12">
        <f>K312/(100-BE312)*100</f>
        <v>0</v>
      </c>
      <c r="BE312" s="12">
        <v>0</v>
      </c>
      <c r="BF312" s="12">
        <f>312</f>
        <v>312</v>
      </c>
      <c r="BH312" s="26">
        <f>J312*AO312</f>
        <v>0</v>
      </c>
      <c r="BI312" s="26">
        <f>J312*AP312</f>
        <v>0</v>
      </c>
      <c r="BJ312" s="26">
        <f>J312*K312</f>
        <v>0</v>
      </c>
    </row>
    <row r="313" spans="1:62" x14ac:dyDescent="0.2">
      <c r="D313" s="157" t="s">
        <v>864</v>
      </c>
      <c r="E313" s="158"/>
      <c r="F313" s="158"/>
      <c r="G313" s="158"/>
      <c r="H313" s="158"/>
      <c r="K313" s="71"/>
    </row>
    <row r="314" spans="1:62" x14ac:dyDescent="0.2">
      <c r="C314" s="62" t="s">
        <v>296</v>
      </c>
      <c r="D314" s="113" t="s">
        <v>501</v>
      </c>
      <c r="E314" s="114"/>
      <c r="F314" s="114"/>
      <c r="G314" s="114"/>
      <c r="H314" s="114"/>
      <c r="I314" s="114"/>
      <c r="J314" s="114"/>
      <c r="K314" s="154"/>
      <c r="L314" s="114"/>
      <c r="M314" s="114"/>
    </row>
    <row r="315" spans="1:62" x14ac:dyDescent="0.2">
      <c r="A315" s="54"/>
      <c r="B315" s="19" t="s">
        <v>8</v>
      </c>
      <c r="C315" s="19" t="s">
        <v>16</v>
      </c>
      <c r="D315" s="117" t="s">
        <v>45</v>
      </c>
      <c r="E315" s="118"/>
      <c r="F315" s="118"/>
      <c r="G315" s="118"/>
      <c r="H315" s="118"/>
      <c r="I315" s="54" t="s">
        <v>5</v>
      </c>
      <c r="J315" s="54" t="s">
        <v>5</v>
      </c>
      <c r="K315" s="68" t="s">
        <v>5</v>
      </c>
      <c r="L315" s="80">
        <f>SUM(L316:L317)</f>
        <v>0</v>
      </c>
      <c r="M315" s="27"/>
      <c r="AI315" s="27" t="s">
        <v>8</v>
      </c>
      <c r="AS315" s="80">
        <f>SUM(AJ316:AJ317)</f>
        <v>0</v>
      </c>
      <c r="AT315" s="80">
        <f>SUM(AK316:AK317)</f>
        <v>0</v>
      </c>
      <c r="AU315" s="80">
        <f>SUM(AL316:AL317)</f>
        <v>0</v>
      </c>
    </row>
    <row r="316" spans="1:62" x14ac:dyDescent="0.2">
      <c r="A316" s="18" t="s">
        <v>261</v>
      </c>
      <c r="B316" s="18" t="s">
        <v>8</v>
      </c>
      <c r="C316" s="18" t="s">
        <v>306</v>
      </c>
      <c r="D316" s="111" t="s">
        <v>503</v>
      </c>
      <c r="E316" s="112"/>
      <c r="F316" s="112"/>
      <c r="G316" s="112"/>
      <c r="H316" s="112"/>
      <c r="I316" s="18" t="s">
        <v>785</v>
      </c>
      <c r="J316" s="26">
        <v>34.200000000000003</v>
      </c>
      <c r="K316" s="69">
        <v>0</v>
      </c>
      <c r="L316" s="26">
        <f>J316*K316</f>
        <v>0</v>
      </c>
      <c r="M316" s="32" t="s">
        <v>874</v>
      </c>
      <c r="Z316" s="12">
        <f>IF(AQ316="5",BJ316,0)</f>
        <v>0</v>
      </c>
      <c r="AB316" s="12">
        <f>IF(AQ316="1",BH316,0)</f>
        <v>0</v>
      </c>
      <c r="AC316" s="12">
        <f>IF(AQ316="1",BI316,0)</f>
        <v>0</v>
      </c>
      <c r="AD316" s="12">
        <f>IF(AQ316="7",BH316,0)</f>
        <v>0</v>
      </c>
      <c r="AE316" s="12">
        <f>IF(AQ316="7",BI316,0)</f>
        <v>0</v>
      </c>
      <c r="AF316" s="12">
        <f>IF(AQ316="2",BH316,0)</f>
        <v>0</v>
      </c>
      <c r="AG316" s="12">
        <f>IF(AQ316="2",BI316,0)</f>
        <v>0</v>
      </c>
      <c r="AH316" s="12">
        <f>IF(AQ316="0",BJ316,0)</f>
        <v>0</v>
      </c>
      <c r="AI316" s="27" t="s">
        <v>8</v>
      </c>
      <c r="AJ316" s="26">
        <f>IF(AN316=0,L316,0)</f>
        <v>0</v>
      </c>
      <c r="AK316" s="26">
        <f>IF(AN316=15,L316,0)</f>
        <v>0</v>
      </c>
      <c r="AL316" s="26">
        <f>IF(AN316=21,L316,0)</f>
        <v>0</v>
      </c>
      <c r="AN316" s="12">
        <v>21</v>
      </c>
      <c r="AO316" s="12">
        <f>K316*0</f>
        <v>0</v>
      </c>
      <c r="AP316" s="12">
        <f>K316*(1-0)</f>
        <v>0</v>
      </c>
      <c r="AQ316" s="32" t="s">
        <v>85</v>
      </c>
      <c r="AV316" s="12">
        <f>AW316+AX316</f>
        <v>0</v>
      </c>
      <c r="AW316" s="12">
        <f>J316*AO316</f>
        <v>0</v>
      </c>
      <c r="AX316" s="12">
        <f>J316*AP316</f>
        <v>0</v>
      </c>
      <c r="AY316" s="78" t="s">
        <v>890</v>
      </c>
      <c r="AZ316" s="78" t="s">
        <v>925</v>
      </c>
      <c r="BA316" s="27" t="s">
        <v>929</v>
      </c>
      <c r="BC316" s="12">
        <f>AW316+AX316</f>
        <v>0</v>
      </c>
      <c r="BD316" s="12">
        <f>K316/(100-BE316)*100</f>
        <v>0</v>
      </c>
      <c r="BE316" s="12">
        <v>0</v>
      </c>
      <c r="BF316" s="12">
        <f>316</f>
        <v>316</v>
      </c>
      <c r="BH316" s="26">
        <f>J316*AO316</f>
        <v>0</v>
      </c>
      <c r="BI316" s="26">
        <f>J316*AP316</f>
        <v>0</v>
      </c>
      <c r="BJ316" s="26">
        <f>J316*K316</f>
        <v>0</v>
      </c>
    </row>
    <row r="317" spans="1:62" x14ac:dyDescent="0.2">
      <c r="A317" s="18" t="s">
        <v>262</v>
      </c>
      <c r="B317" s="18" t="s">
        <v>8</v>
      </c>
      <c r="C317" s="18" t="s">
        <v>307</v>
      </c>
      <c r="D317" s="111" t="s">
        <v>506</v>
      </c>
      <c r="E317" s="112"/>
      <c r="F317" s="112"/>
      <c r="G317" s="112"/>
      <c r="H317" s="112"/>
      <c r="I317" s="18" t="s">
        <v>785</v>
      </c>
      <c r="J317" s="26">
        <v>17.100000000000001</v>
      </c>
      <c r="K317" s="69">
        <v>0</v>
      </c>
      <c r="L317" s="26">
        <f>J317*K317</f>
        <v>0</v>
      </c>
      <c r="M317" s="32" t="s">
        <v>874</v>
      </c>
      <c r="Z317" s="12">
        <f>IF(AQ317="5",BJ317,0)</f>
        <v>0</v>
      </c>
      <c r="AB317" s="12">
        <f>IF(AQ317="1",BH317,0)</f>
        <v>0</v>
      </c>
      <c r="AC317" s="12">
        <f>IF(AQ317="1",BI317,0)</f>
        <v>0</v>
      </c>
      <c r="AD317" s="12">
        <f>IF(AQ317="7",BH317,0)</f>
        <v>0</v>
      </c>
      <c r="AE317" s="12">
        <f>IF(AQ317="7",BI317,0)</f>
        <v>0</v>
      </c>
      <c r="AF317" s="12">
        <f>IF(AQ317="2",BH317,0)</f>
        <v>0</v>
      </c>
      <c r="AG317" s="12">
        <f>IF(AQ317="2",BI317,0)</f>
        <v>0</v>
      </c>
      <c r="AH317" s="12">
        <f>IF(AQ317="0",BJ317,0)</f>
        <v>0</v>
      </c>
      <c r="AI317" s="27" t="s">
        <v>8</v>
      </c>
      <c r="AJ317" s="26">
        <f>IF(AN317=0,L317,0)</f>
        <v>0</v>
      </c>
      <c r="AK317" s="26">
        <f>IF(AN317=15,L317,0)</f>
        <v>0</v>
      </c>
      <c r="AL317" s="26">
        <f>IF(AN317=21,L317,0)</f>
        <v>0</v>
      </c>
      <c r="AN317" s="12">
        <v>21</v>
      </c>
      <c r="AO317" s="12">
        <f>K317*0</f>
        <v>0</v>
      </c>
      <c r="AP317" s="12">
        <f>K317*(1-0)</f>
        <v>0</v>
      </c>
      <c r="AQ317" s="32" t="s">
        <v>85</v>
      </c>
      <c r="AV317" s="12">
        <f>AW317+AX317</f>
        <v>0</v>
      </c>
      <c r="AW317" s="12">
        <f>J317*AO317</f>
        <v>0</v>
      </c>
      <c r="AX317" s="12">
        <f>J317*AP317</f>
        <v>0</v>
      </c>
      <c r="AY317" s="78" t="s">
        <v>890</v>
      </c>
      <c r="AZ317" s="78" t="s">
        <v>925</v>
      </c>
      <c r="BA317" s="27" t="s">
        <v>929</v>
      </c>
      <c r="BC317" s="12">
        <f>AW317+AX317</f>
        <v>0</v>
      </c>
      <c r="BD317" s="12">
        <f>K317/(100-BE317)*100</f>
        <v>0</v>
      </c>
      <c r="BE317" s="12">
        <v>0</v>
      </c>
      <c r="BF317" s="12">
        <f>317</f>
        <v>317</v>
      </c>
      <c r="BH317" s="26">
        <f>J317*AO317</f>
        <v>0</v>
      </c>
      <c r="BI317" s="26">
        <f>J317*AP317</f>
        <v>0</v>
      </c>
      <c r="BJ317" s="26">
        <f>J317*K317</f>
        <v>0</v>
      </c>
    </row>
    <row r="318" spans="1:62" x14ac:dyDescent="0.2">
      <c r="A318" s="54"/>
      <c r="B318" s="19" t="s">
        <v>8</v>
      </c>
      <c r="C318" s="19" t="s">
        <v>17</v>
      </c>
      <c r="D318" s="117" t="s">
        <v>46</v>
      </c>
      <c r="E318" s="118"/>
      <c r="F318" s="118"/>
      <c r="G318" s="118"/>
      <c r="H318" s="118"/>
      <c r="I318" s="54" t="s">
        <v>5</v>
      </c>
      <c r="J318" s="54" t="s">
        <v>5</v>
      </c>
      <c r="K318" s="68" t="s">
        <v>5</v>
      </c>
      <c r="L318" s="80">
        <f>SUM(L319:L321)</f>
        <v>0</v>
      </c>
      <c r="M318" s="27"/>
      <c r="AI318" s="27" t="s">
        <v>8</v>
      </c>
      <c r="AS318" s="80">
        <f>SUM(AJ319:AJ321)</f>
        <v>0</v>
      </c>
      <c r="AT318" s="80">
        <f>SUM(AK319:AK321)</f>
        <v>0</v>
      </c>
      <c r="AU318" s="80">
        <f>SUM(AL319:AL321)</f>
        <v>0</v>
      </c>
    </row>
    <row r="319" spans="1:62" x14ac:dyDescent="0.2">
      <c r="A319" s="18" t="s">
        <v>263</v>
      </c>
      <c r="B319" s="18" t="s">
        <v>8</v>
      </c>
      <c r="C319" s="18" t="s">
        <v>312</v>
      </c>
      <c r="D319" s="111" t="s">
        <v>515</v>
      </c>
      <c r="E319" s="112"/>
      <c r="F319" s="112"/>
      <c r="G319" s="112"/>
      <c r="H319" s="112"/>
      <c r="I319" s="18" t="s">
        <v>785</v>
      </c>
      <c r="J319" s="26">
        <v>12</v>
      </c>
      <c r="K319" s="69">
        <v>0</v>
      </c>
      <c r="L319" s="26">
        <f>J319*K319</f>
        <v>0</v>
      </c>
      <c r="M319" s="32" t="s">
        <v>874</v>
      </c>
      <c r="Z319" s="12">
        <f>IF(AQ319="5",BJ319,0)</f>
        <v>0</v>
      </c>
      <c r="AB319" s="12">
        <f>IF(AQ319="1",BH319,0)</f>
        <v>0</v>
      </c>
      <c r="AC319" s="12">
        <f>IF(AQ319="1",BI319,0)</f>
        <v>0</v>
      </c>
      <c r="AD319" s="12">
        <f>IF(AQ319="7",BH319,0)</f>
        <v>0</v>
      </c>
      <c r="AE319" s="12">
        <f>IF(AQ319="7",BI319,0)</f>
        <v>0</v>
      </c>
      <c r="AF319" s="12">
        <f>IF(AQ319="2",BH319,0)</f>
        <v>0</v>
      </c>
      <c r="AG319" s="12">
        <f>IF(AQ319="2",BI319,0)</f>
        <v>0</v>
      </c>
      <c r="AH319" s="12">
        <f>IF(AQ319="0",BJ319,0)</f>
        <v>0</v>
      </c>
      <c r="AI319" s="27" t="s">
        <v>8</v>
      </c>
      <c r="AJ319" s="26">
        <f>IF(AN319=0,L319,0)</f>
        <v>0</v>
      </c>
      <c r="AK319" s="26">
        <f>IF(AN319=15,L319,0)</f>
        <v>0</v>
      </c>
      <c r="AL319" s="26">
        <f>IF(AN319=21,L319,0)</f>
        <v>0</v>
      </c>
      <c r="AN319" s="12">
        <v>21</v>
      </c>
      <c r="AO319" s="12">
        <f>K319*0</f>
        <v>0</v>
      </c>
      <c r="AP319" s="12">
        <f>K319*(1-0)</f>
        <v>0</v>
      </c>
      <c r="AQ319" s="32" t="s">
        <v>85</v>
      </c>
      <c r="AV319" s="12">
        <f>AW319+AX319</f>
        <v>0</v>
      </c>
      <c r="AW319" s="12">
        <f>J319*AO319</f>
        <v>0</v>
      </c>
      <c r="AX319" s="12">
        <f>J319*AP319</f>
        <v>0</v>
      </c>
      <c r="AY319" s="78" t="s">
        <v>891</v>
      </c>
      <c r="AZ319" s="78" t="s">
        <v>925</v>
      </c>
      <c r="BA319" s="27" t="s">
        <v>929</v>
      </c>
      <c r="BC319" s="12">
        <f>AW319+AX319</f>
        <v>0</v>
      </c>
      <c r="BD319" s="12">
        <f>K319/(100-BE319)*100</f>
        <v>0</v>
      </c>
      <c r="BE319" s="12">
        <v>0</v>
      </c>
      <c r="BF319" s="12">
        <f>319</f>
        <v>319</v>
      </c>
      <c r="BH319" s="26">
        <f>J319*AO319</f>
        <v>0</v>
      </c>
      <c r="BI319" s="26">
        <f>J319*AP319</f>
        <v>0</v>
      </c>
      <c r="BJ319" s="26">
        <f>J319*K319</f>
        <v>0</v>
      </c>
    </row>
    <row r="320" spans="1:62" ht="25.7" customHeight="1" x14ac:dyDescent="0.2">
      <c r="C320" s="62" t="s">
        <v>296</v>
      </c>
      <c r="D320" s="113" t="s">
        <v>516</v>
      </c>
      <c r="E320" s="114"/>
      <c r="F320" s="114"/>
      <c r="G320" s="114"/>
      <c r="H320" s="114"/>
      <c r="I320" s="114"/>
      <c r="J320" s="114"/>
      <c r="K320" s="154"/>
      <c r="L320" s="114"/>
      <c r="M320" s="114"/>
    </row>
    <row r="321" spans="1:62" x14ac:dyDescent="0.2">
      <c r="A321" s="20" t="s">
        <v>264</v>
      </c>
      <c r="B321" s="20" t="s">
        <v>8</v>
      </c>
      <c r="C321" s="20" t="s">
        <v>313</v>
      </c>
      <c r="D321" s="121" t="s">
        <v>517</v>
      </c>
      <c r="E321" s="122"/>
      <c r="F321" s="122"/>
      <c r="G321" s="122"/>
      <c r="H321" s="122"/>
      <c r="I321" s="20" t="s">
        <v>786</v>
      </c>
      <c r="J321" s="29">
        <v>1.92</v>
      </c>
      <c r="K321" s="70">
        <v>0</v>
      </c>
      <c r="L321" s="29">
        <f>J321*K321</f>
        <v>0</v>
      </c>
      <c r="M321" s="33" t="s">
        <v>874</v>
      </c>
      <c r="Z321" s="12">
        <f>IF(AQ321="5",BJ321,0)</f>
        <v>0</v>
      </c>
      <c r="AB321" s="12">
        <f>IF(AQ321="1",BH321,0)</f>
        <v>0</v>
      </c>
      <c r="AC321" s="12">
        <f>IF(AQ321="1",BI321,0)</f>
        <v>0</v>
      </c>
      <c r="AD321" s="12">
        <f>IF(AQ321="7",BH321,0)</f>
        <v>0</v>
      </c>
      <c r="AE321" s="12">
        <f>IF(AQ321="7",BI321,0)</f>
        <v>0</v>
      </c>
      <c r="AF321" s="12">
        <f>IF(AQ321="2",BH321,0)</f>
        <v>0</v>
      </c>
      <c r="AG321" s="12">
        <f>IF(AQ321="2",BI321,0)</f>
        <v>0</v>
      </c>
      <c r="AH321" s="12">
        <f>IF(AQ321="0",BJ321,0)</f>
        <v>0</v>
      </c>
      <c r="AI321" s="27" t="s">
        <v>8</v>
      </c>
      <c r="AJ321" s="29">
        <f>IF(AN321=0,L321,0)</f>
        <v>0</v>
      </c>
      <c r="AK321" s="29">
        <f>IF(AN321=15,L321,0)</f>
        <v>0</v>
      </c>
      <c r="AL321" s="29">
        <f>IF(AN321=21,L321,0)</f>
        <v>0</v>
      </c>
      <c r="AN321" s="12">
        <v>21</v>
      </c>
      <c r="AO321" s="12">
        <f>K321*1</f>
        <v>0</v>
      </c>
      <c r="AP321" s="12">
        <f>K321*(1-1)</f>
        <v>0</v>
      </c>
      <c r="AQ321" s="33" t="s">
        <v>85</v>
      </c>
      <c r="AV321" s="12">
        <f>AW321+AX321</f>
        <v>0</v>
      </c>
      <c r="AW321" s="12">
        <f>J321*AO321</f>
        <v>0</v>
      </c>
      <c r="AX321" s="12">
        <f>J321*AP321</f>
        <v>0</v>
      </c>
      <c r="AY321" s="78" t="s">
        <v>891</v>
      </c>
      <c r="AZ321" s="78" t="s">
        <v>925</v>
      </c>
      <c r="BA321" s="27" t="s">
        <v>929</v>
      </c>
      <c r="BC321" s="12">
        <f>AW321+AX321</f>
        <v>0</v>
      </c>
      <c r="BD321" s="12">
        <f>K321/(100-BE321)*100</f>
        <v>0</v>
      </c>
      <c r="BE321" s="12">
        <v>0</v>
      </c>
      <c r="BF321" s="12">
        <f>321</f>
        <v>321</v>
      </c>
      <c r="BH321" s="29">
        <f>J321*AO321</f>
        <v>0</v>
      </c>
      <c r="BI321" s="29">
        <f>J321*AP321</f>
        <v>0</v>
      </c>
      <c r="BJ321" s="29">
        <f>J321*K321</f>
        <v>0</v>
      </c>
    </row>
    <row r="322" spans="1:62" x14ac:dyDescent="0.2">
      <c r="A322" s="54"/>
      <c r="B322" s="19" t="s">
        <v>8</v>
      </c>
      <c r="C322" s="19" t="s">
        <v>19</v>
      </c>
      <c r="D322" s="117" t="s">
        <v>48</v>
      </c>
      <c r="E322" s="118"/>
      <c r="F322" s="118"/>
      <c r="G322" s="118"/>
      <c r="H322" s="118"/>
      <c r="I322" s="54" t="s">
        <v>5</v>
      </c>
      <c r="J322" s="54" t="s">
        <v>5</v>
      </c>
      <c r="K322" s="68" t="s">
        <v>5</v>
      </c>
      <c r="L322" s="80">
        <f>SUM(L323:L333)</f>
        <v>0</v>
      </c>
      <c r="M322" s="27"/>
      <c r="AI322" s="27" t="s">
        <v>8</v>
      </c>
      <c r="AS322" s="80">
        <f>SUM(AJ323:AJ333)</f>
        <v>0</v>
      </c>
      <c r="AT322" s="80">
        <f>SUM(AK323:AK333)</f>
        <v>0</v>
      </c>
      <c r="AU322" s="80">
        <f>SUM(AL323:AL333)</f>
        <v>0</v>
      </c>
    </row>
    <row r="323" spans="1:62" x14ac:dyDescent="0.2">
      <c r="A323" s="18" t="s">
        <v>265</v>
      </c>
      <c r="B323" s="18" t="s">
        <v>8</v>
      </c>
      <c r="C323" s="18" t="s">
        <v>321</v>
      </c>
      <c r="D323" s="111" t="s">
        <v>550</v>
      </c>
      <c r="E323" s="112"/>
      <c r="F323" s="112"/>
      <c r="G323" s="112"/>
      <c r="H323" s="112"/>
      <c r="I323" s="18" t="s">
        <v>783</v>
      </c>
      <c r="J323" s="26">
        <v>40</v>
      </c>
      <c r="K323" s="69">
        <v>0</v>
      </c>
      <c r="L323" s="26">
        <f>J323*K323</f>
        <v>0</v>
      </c>
      <c r="M323" s="32" t="s">
        <v>874</v>
      </c>
      <c r="Z323" s="12">
        <f>IF(AQ323="5",BJ323,0)</f>
        <v>0</v>
      </c>
      <c r="AB323" s="12">
        <f>IF(AQ323="1",BH323,0)</f>
        <v>0</v>
      </c>
      <c r="AC323" s="12">
        <f>IF(AQ323="1",BI323,0)</f>
        <v>0</v>
      </c>
      <c r="AD323" s="12">
        <f>IF(AQ323="7",BH323,0)</f>
        <v>0</v>
      </c>
      <c r="AE323" s="12">
        <f>IF(AQ323="7",BI323,0)</f>
        <v>0</v>
      </c>
      <c r="AF323" s="12">
        <f>IF(AQ323="2",BH323,0)</f>
        <v>0</v>
      </c>
      <c r="AG323" s="12">
        <f>IF(AQ323="2",BI323,0)</f>
        <v>0</v>
      </c>
      <c r="AH323" s="12">
        <f>IF(AQ323="0",BJ323,0)</f>
        <v>0</v>
      </c>
      <c r="AI323" s="27" t="s">
        <v>8</v>
      </c>
      <c r="AJ323" s="26">
        <f>IF(AN323=0,L323,0)</f>
        <v>0</v>
      </c>
      <c r="AK323" s="26">
        <f>IF(AN323=15,L323,0)</f>
        <v>0</v>
      </c>
      <c r="AL323" s="26">
        <f>IF(AN323=21,L323,0)</f>
        <v>0</v>
      </c>
      <c r="AN323" s="12">
        <v>21</v>
      </c>
      <c r="AO323" s="12">
        <f>K323*0</f>
        <v>0</v>
      </c>
      <c r="AP323" s="12">
        <f>K323*(1-0)</f>
        <v>0</v>
      </c>
      <c r="AQ323" s="32" t="s">
        <v>85</v>
      </c>
      <c r="AV323" s="12">
        <f>AW323+AX323</f>
        <v>0</v>
      </c>
      <c r="AW323" s="12">
        <f>J323*AO323</f>
        <v>0</v>
      </c>
      <c r="AX323" s="12">
        <f>J323*AP323</f>
        <v>0</v>
      </c>
      <c r="AY323" s="78" t="s">
        <v>893</v>
      </c>
      <c r="AZ323" s="78" t="s">
        <v>925</v>
      </c>
      <c r="BA323" s="27" t="s">
        <v>929</v>
      </c>
      <c r="BC323" s="12">
        <f>AW323+AX323</f>
        <v>0</v>
      </c>
      <c r="BD323" s="12">
        <f>K323/(100-BE323)*100</f>
        <v>0</v>
      </c>
      <c r="BE323" s="12">
        <v>0</v>
      </c>
      <c r="BF323" s="12">
        <f>323</f>
        <v>323</v>
      </c>
      <c r="BH323" s="26">
        <f>J323*AO323</f>
        <v>0</v>
      </c>
      <c r="BI323" s="26">
        <f>J323*AP323</f>
        <v>0</v>
      </c>
      <c r="BJ323" s="26">
        <f>J323*K323</f>
        <v>0</v>
      </c>
    </row>
    <row r="324" spans="1:62" x14ac:dyDescent="0.2">
      <c r="C324" s="62" t="s">
        <v>296</v>
      </c>
      <c r="D324" s="113" t="s">
        <v>551</v>
      </c>
      <c r="E324" s="114"/>
      <c r="F324" s="114"/>
      <c r="G324" s="114"/>
      <c r="H324" s="114"/>
      <c r="I324" s="114"/>
      <c r="J324" s="114"/>
      <c r="K324" s="154"/>
      <c r="L324" s="114"/>
      <c r="M324" s="114"/>
    </row>
    <row r="325" spans="1:62" x14ac:dyDescent="0.2">
      <c r="A325" s="20" t="s">
        <v>266</v>
      </c>
      <c r="B325" s="20" t="s">
        <v>8</v>
      </c>
      <c r="C325" s="20" t="s">
        <v>322</v>
      </c>
      <c r="D325" s="121" t="s">
        <v>552</v>
      </c>
      <c r="E325" s="122"/>
      <c r="F325" s="122"/>
      <c r="G325" s="122"/>
      <c r="H325" s="122"/>
      <c r="I325" s="20" t="s">
        <v>785</v>
      </c>
      <c r="J325" s="29">
        <v>0.5</v>
      </c>
      <c r="K325" s="70">
        <v>0</v>
      </c>
      <c r="L325" s="29">
        <f>J325*K325</f>
        <v>0</v>
      </c>
      <c r="M325" s="33" t="s">
        <v>874</v>
      </c>
      <c r="Z325" s="12">
        <f>IF(AQ325="5",BJ325,0)</f>
        <v>0</v>
      </c>
      <c r="AB325" s="12">
        <f>IF(AQ325="1",BH325,0)</f>
        <v>0</v>
      </c>
      <c r="AC325" s="12">
        <f>IF(AQ325="1",BI325,0)</f>
        <v>0</v>
      </c>
      <c r="AD325" s="12">
        <f>IF(AQ325="7",BH325,0)</f>
        <v>0</v>
      </c>
      <c r="AE325" s="12">
        <f>IF(AQ325="7",BI325,0)</f>
        <v>0</v>
      </c>
      <c r="AF325" s="12">
        <f>IF(AQ325="2",BH325,0)</f>
        <v>0</v>
      </c>
      <c r="AG325" s="12">
        <f>IF(AQ325="2",BI325,0)</f>
        <v>0</v>
      </c>
      <c r="AH325" s="12">
        <f>IF(AQ325="0",BJ325,0)</f>
        <v>0</v>
      </c>
      <c r="AI325" s="27" t="s">
        <v>8</v>
      </c>
      <c r="AJ325" s="29">
        <f>IF(AN325=0,L325,0)</f>
        <v>0</v>
      </c>
      <c r="AK325" s="29">
        <f>IF(AN325=15,L325,0)</f>
        <v>0</v>
      </c>
      <c r="AL325" s="29">
        <f>IF(AN325=21,L325,0)</f>
        <v>0</v>
      </c>
      <c r="AN325" s="12">
        <v>21</v>
      </c>
      <c r="AO325" s="12">
        <f>K325*1</f>
        <v>0</v>
      </c>
      <c r="AP325" s="12">
        <f>K325*(1-1)</f>
        <v>0</v>
      </c>
      <c r="AQ325" s="33" t="s">
        <v>85</v>
      </c>
      <c r="AV325" s="12">
        <f>AW325+AX325</f>
        <v>0</v>
      </c>
      <c r="AW325" s="12">
        <f>J325*AO325</f>
        <v>0</v>
      </c>
      <c r="AX325" s="12">
        <f>J325*AP325</f>
        <v>0</v>
      </c>
      <c r="AY325" s="78" t="s">
        <v>893</v>
      </c>
      <c r="AZ325" s="78" t="s">
        <v>925</v>
      </c>
      <c r="BA325" s="27" t="s">
        <v>929</v>
      </c>
      <c r="BC325" s="12">
        <f>AW325+AX325</f>
        <v>0</v>
      </c>
      <c r="BD325" s="12">
        <f>K325/(100-BE325)*100</f>
        <v>0</v>
      </c>
      <c r="BE325" s="12">
        <v>0</v>
      </c>
      <c r="BF325" s="12">
        <f>325</f>
        <v>325</v>
      </c>
      <c r="BH325" s="29">
        <f>J325*AO325</f>
        <v>0</v>
      </c>
      <c r="BI325" s="29">
        <f>J325*AP325</f>
        <v>0</v>
      </c>
      <c r="BJ325" s="29">
        <f>J325*K325</f>
        <v>0</v>
      </c>
    </row>
    <row r="326" spans="1:62" ht="25.7" customHeight="1" x14ac:dyDescent="0.2">
      <c r="C326" s="62" t="s">
        <v>296</v>
      </c>
      <c r="D326" s="113" t="s">
        <v>554</v>
      </c>
      <c r="E326" s="114"/>
      <c r="F326" s="114"/>
      <c r="G326" s="114"/>
      <c r="H326" s="114"/>
      <c r="I326" s="114"/>
      <c r="J326" s="114"/>
      <c r="K326" s="154"/>
      <c r="L326" s="114"/>
      <c r="M326" s="114"/>
    </row>
    <row r="327" spans="1:62" x14ac:dyDescent="0.2">
      <c r="A327" s="18" t="s">
        <v>267</v>
      </c>
      <c r="B327" s="18" t="s">
        <v>8</v>
      </c>
      <c r="C327" s="18" t="s">
        <v>316</v>
      </c>
      <c r="D327" s="111" t="s">
        <v>527</v>
      </c>
      <c r="E327" s="112"/>
      <c r="F327" s="112"/>
      <c r="G327" s="112"/>
      <c r="H327" s="112"/>
      <c r="I327" s="18" t="s">
        <v>783</v>
      </c>
      <c r="J327" s="26">
        <v>40</v>
      </c>
      <c r="K327" s="69">
        <v>0</v>
      </c>
      <c r="L327" s="26">
        <f>J327*K327</f>
        <v>0</v>
      </c>
      <c r="M327" s="32" t="s">
        <v>874</v>
      </c>
      <c r="Z327" s="12">
        <f>IF(AQ327="5",BJ327,0)</f>
        <v>0</v>
      </c>
      <c r="AB327" s="12">
        <f>IF(AQ327="1",BH327,0)</f>
        <v>0</v>
      </c>
      <c r="AC327" s="12">
        <f>IF(AQ327="1",BI327,0)</f>
        <v>0</v>
      </c>
      <c r="AD327" s="12">
        <f>IF(AQ327="7",BH327,0)</f>
        <v>0</v>
      </c>
      <c r="AE327" s="12">
        <f>IF(AQ327="7",BI327,0)</f>
        <v>0</v>
      </c>
      <c r="AF327" s="12">
        <f>IF(AQ327="2",BH327,0)</f>
        <v>0</v>
      </c>
      <c r="AG327" s="12">
        <f>IF(AQ327="2",BI327,0)</f>
        <v>0</v>
      </c>
      <c r="AH327" s="12">
        <f>IF(AQ327="0",BJ327,0)</f>
        <v>0</v>
      </c>
      <c r="AI327" s="27" t="s">
        <v>8</v>
      </c>
      <c r="AJ327" s="26">
        <f>IF(AN327=0,L327,0)</f>
        <v>0</v>
      </c>
      <c r="AK327" s="26">
        <f>IF(AN327=15,L327,0)</f>
        <v>0</v>
      </c>
      <c r="AL327" s="26">
        <f>IF(AN327=21,L327,0)</f>
        <v>0</v>
      </c>
      <c r="AN327" s="12">
        <v>21</v>
      </c>
      <c r="AO327" s="12">
        <f>K327*0.0706896551724138</f>
        <v>0</v>
      </c>
      <c r="AP327" s="12">
        <f>K327*(1-0.0706896551724138)</f>
        <v>0</v>
      </c>
      <c r="AQ327" s="32" t="s">
        <v>85</v>
      </c>
      <c r="AV327" s="12">
        <f>AW327+AX327</f>
        <v>0</v>
      </c>
      <c r="AW327" s="12">
        <f>J327*AO327</f>
        <v>0</v>
      </c>
      <c r="AX327" s="12">
        <f>J327*AP327</f>
        <v>0</v>
      </c>
      <c r="AY327" s="78" t="s">
        <v>893</v>
      </c>
      <c r="AZ327" s="78" t="s">
        <v>925</v>
      </c>
      <c r="BA327" s="27" t="s">
        <v>929</v>
      </c>
      <c r="BC327" s="12">
        <f>AW327+AX327</f>
        <v>0</v>
      </c>
      <c r="BD327" s="12">
        <f>K327/(100-BE327)*100</f>
        <v>0</v>
      </c>
      <c r="BE327" s="12">
        <v>0</v>
      </c>
      <c r="BF327" s="12">
        <f>327</f>
        <v>327</v>
      </c>
      <c r="BH327" s="26">
        <f>J327*AO327</f>
        <v>0</v>
      </c>
      <c r="BI327" s="26">
        <f>J327*AP327</f>
        <v>0</v>
      </c>
      <c r="BJ327" s="26">
        <f>J327*K327</f>
        <v>0</v>
      </c>
    </row>
    <row r="328" spans="1:62" x14ac:dyDescent="0.2">
      <c r="C328" s="62" t="s">
        <v>296</v>
      </c>
      <c r="D328" s="113" t="s">
        <v>530</v>
      </c>
      <c r="E328" s="114"/>
      <c r="F328" s="114"/>
      <c r="G328" s="114"/>
      <c r="H328" s="114"/>
      <c r="I328" s="114"/>
      <c r="J328" s="114"/>
      <c r="K328" s="154"/>
      <c r="L328" s="114"/>
      <c r="M328" s="114"/>
    </row>
    <row r="329" spans="1:62" x14ac:dyDescent="0.2">
      <c r="A329" s="18" t="s">
        <v>268</v>
      </c>
      <c r="B329" s="18" t="s">
        <v>8</v>
      </c>
      <c r="C329" s="18" t="s">
        <v>317</v>
      </c>
      <c r="D329" s="111" t="s">
        <v>531</v>
      </c>
      <c r="E329" s="112"/>
      <c r="F329" s="112"/>
      <c r="G329" s="112"/>
      <c r="H329" s="112"/>
      <c r="I329" s="18" t="s">
        <v>783</v>
      </c>
      <c r="J329" s="26">
        <v>40</v>
      </c>
      <c r="K329" s="69">
        <v>0</v>
      </c>
      <c r="L329" s="26">
        <f>J329*K329</f>
        <v>0</v>
      </c>
      <c r="M329" s="32" t="s">
        <v>874</v>
      </c>
      <c r="Z329" s="12">
        <f>IF(AQ329="5",BJ329,0)</f>
        <v>0</v>
      </c>
      <c r="AB329" s="12">
        <f>IF(AQ329="1",BH329,0)</f>
        <v>0</v>
      </c>
      <c r="AC329" s="12">
        <f>IF(AQ329="1",BI329,0)</f>
        <v>0</v>
      </c>
      <c r="AD329" s="12">
        <f>IF(AQ329="7",BH329,0)</f>
        <v>0</v>
      </c>
      <c r="AE329" s="12">
        <f>IF(AQ329="7",BI329,0)</f>
        <v>0</v>
      </c>
      <c r="AF329" s="12">
        <f>IF(AQ329="2",BH329,0)</f>
        <v>0</v>
      </c>
      <c r="AG329" s="12">
        <f>IF(AQ329="2",BI329,0)</f>
        <v>0</v>
      </c>
      <c r="AH329" s="12">
        <f>IF(AQ329="0",BJ329,0)</f>
        <v>0</v>
      </c>
      <c r="AI329" s="27" t="s">
        <v>8</v>
      </c>
      <c r="AJ329" s="26">
        <f>IF(AN329=0,L329,0)</f>
        <v>0</v>
      </c>
      <c r="AK329" s="26">
        <f>IF(AN329=15,L329,0)</f>
        <v>0</v>
      </c>
      <c r="AL329" s="26">
        <f>IF(AN329=21,L329,0)</f>
        <v>0</v>
      </c>
      <c r="AN329" s="12">
        <v>21</v>
      </c>
      <c r="AO329" s="12">
        <f>K329*0.00665188470066519</f>
        <v>0</v>
      </c>
      <c r="AP329" s="12">
        <f>K329*(1-0.00665188470066519)</f>
        <v>0</v>
      </c>
      <c r="AQ329" s="32" t="s">
        <v>85</v>
      </c>
      <c r="AV329" s="12">
        <f>AW329+AX329</f>
        <v>0</v>
      </c>
      <c r="AW329" s="12">
        <f>J329*AO329</f>
        <v>0</v>
      </c>
      <c r="AX329" s="12">
        <f>J329*AP329</f>
        <v>0</v>
      </c>
      <c r="AY329" s="78" t="s">
        <v>893</v>
      </c>
      <c r="AZ329" s="78" t="s">
        <v>925</v>
      </c>
      <c r="BA329" s="27" t="s">
        <v>929</v>
      </c>
      <c r="BC329" s="12">
        <f>AW329+AX329</f>
        <v>0</v>
      </c>
      <c r="BD329" s="12">
        <f>K329/(100-BE329)*100</f>
        <v>0</v>
      </c>
      <c r="BE329" s="12">
        <v>0</v>
      </c>
      <c r="BF329" s="12">
        <f>329</f>
        <v>329</v>
      </c>
      <c r="BH329" s="26">
        <f>J329*AO329</f>
        <v>0</v>
      </c>
      <c r="BI329" s="26">
        <f>J329*AP329</f>
        <v>0</v>
      </c>
      <c r="BJ329" s="26">
        <f>J329*K329</f>
        <v>0</v>
      </c>
    </row>
    <row r="330" spans="1:62" x14ac:dyDescent="0.2">
      <c r="A330" s="18" t="s">
        <v>269</v>
      </c>
      <c r="B330" s="18" t="s">
        <v>8</v>
      </c>
      <c r="C330" s="18" t="s">
        <v>318</v>
      </c>
      <c r="D330" s="111" t="s">
        <v>537</v>
      </c>
      <c r="E330" s="112"/>
      <c r="F330" s="112"/>
      <c r="G330" s="112"/>
      <c r="H330" s="112"/>
      <c r="I330" s="18" t="s">
        <v>783</v>
      </c>
      <c r="J330" s="26">
        <v>40</v>
      </c>
      <c r="K330" s="69">
        <v>0</v>
      </c>
      <c r="L330" s="26">
        <f>J330*K330</f>
        <v>0</v>
      </c>
      <c r="M330" s="32" t="s">
        <v>874</v>
      </c>
      <c r="Z330" s="12">
        <f>IF(AQ330="5",BJ330,0)</f>
        <v>0</v>
      </c>
      <c r="AB330" s="12">
        <f>IF(AQ330="1",BH330,0)</f>
        <v>0</v>
      </c>
      <c r="AC330" s="12">
        <f>IF(AQ330="1",BI330,0)</f>
        <v>0</v>
      </c>
      <c r="AD330" s="12">
        <f>IF(AQ330="7",BH330,0)</f>
        <v>0</v>
      </c>
      <c r="AE330" s="12">
        <f>IF(AQ330="7",BI330,0)</f>
        <v>0</v>
      </c>
      <c r="AF330" s="12">
        <f>IF(AQ330="2",BH330,0)</f>
        <v>0</v>
      </c>
      <c r="AG330" s="12">
        <f>IF(AQ330="2",BI330,0)</f>
        <v>0</v>
      </c>
      <c r="AH330" s="12">
        <f>IF(AQ330="0",BJ330,0)</f>
        <v>0</v>
      </c>
      <c r="AI330" s="27" t="s">
        <v>8</v>
      </c>
      <c r="AJ330" s="26">
        <f>IF(AN330=0,L330,0)</f>
        <v>0</v>
      </c>
      <c r="AK330" s="26">
        <f>IF(AN330=15,L330,0)</f>
        <v>0</v>
      </c>
      <c r="AL330" s="26">
        <f>IF(AN330=21,L330,0)</f>
        <v>0</v>
      </c>
      <c r="AN330" s="12">
        <v>21</v>
      </c>
      <c r="AO330" s="12">
        <f>K330*0</f>
        <v>0</v>
      </c>
      <c r="AP330" s="12">
        <f>K330*(1-0)</f>
        <v>0</v>
      </c>
      <c r="AQ330" s="32" t="s">
        <v>85</v>
      </c>
      <c r="AV330" s="12">
        <f>AW330+AX330</f>
        <v>0</v>
      </c>
      <c r="AW330" s="12">
        <f>J330*AO330</f>
        <v>0</v>
      </c>
      <c r="AX330" s="12">
        <f>J330*AP330</f>
        <v>0</v>
      </c>
      <c r="AY330" s="78" t="s">
        <v>893</v>
      </c>
      <c r="AZ330" s="78" t="s">
        <v>925</v>
      </c>
      <c r="BA330" s="27" t="s">
        <v>929</v>
      </c>
      <c r="BC330" s="12">
        <f>AW330+AX330</f>
        <v>0</v>
      </c>
      <c r="BD330" s="12">
        <f>K330/(100-BE330)*100</f>
        <v>0</v>
      </c>
      <c r="BE330" s="12">
        <v>0</v>
      </c>
      <c r="BF330" s="12">
        <f>330</f>
        <v>330</v>
      </c>
      <c r="BH330" s="26">
        <f>J330*AO330</f>
        <v>0</v>
      </c>
      <c r="BI330" s="26">
        <f>J330*AP330</f>
        <v>0</v>
      </c>
      <c r="BJ330" s="26">
        <f>J330*K330</f>
        <v>0</v>
      </c>
    </row>
    <row r="331" spans="1:62" x14ac:dyDescent="0.2">
      <c r="A331" s="20" t="s">
        <v>270</v>
      </c>
      <c r="B331" s="20" t="s">
        <v>8</v>
      </c>
      <c r="C331" s="20" t="s">
        <v>319</v>
      </c>
      <c r="D331" s="121" t="s">
        <v>538</v>
      </c>
      <c r="E331" s="122"/>
      <c r="F331" s="122"/>
      <c r="G331" s="122"/>
      <c r="H331" s="122"/>
      <c r="I331" s="20" t="s">
        <v>787</v>
      </c>
      <c r="J331" s="29">
        <v>1.2</v>
      </c>
      <c r="K331" s="70">
        <v>0</v>
      </c>
      <c r="L331" s="29">
        <f>J331*K331</f>
        <v>0</v>
      </c>
      <c r="M331" s="33" t="s">
        <v>874</v>
      </c>
      <c r="Z331" s="12">
        <f>IF(AQ331="5",BJ331,0)</f>
        <v>0</v>
      </c>
      <c r="AB331" s="12">
        <f>IF(AQ331="1",BH331,0)</f>
        <v>0</v>
      </c>
      <c r="AC331" s="12">
        <f>IF(AQ331="1",BI331,0)</f>
        <v>0</v>
      </c>
      <c r="AD331" s="12">
        <f>IF(AQ331="7",BH331,0)</f>
        <v>0</v>
      </c>
      <c r="AE331" s="12">
        <f>IF(AQ331="7",BI331,0)</f>
        <v>0</v>
      </c>
      <c r="AF331" s="12">
        <f>IF(AQ331="2",BH331,0)</f>
        <v>0</v>
      </c>
      <c r="AG331" s="12">
        <f>IF(AQ331="2",BI331,0)</f>
        <v>0</v>
      </c>
      <c r="AH331" s="12">
        <f>IF(AQ331="0",BJ331,0)</f>
        <v>0</v>
      </c>
      <c r="AI331" s="27" t="s">
        <v>8</v>
      </c>
      <c r="AJ331" s="29">
        <f>IF(AN331=0,L331,0)</f>
        <v>0</v>
      </c>
      <c r="AK331" s="29">
        <f>IF(AN331=15,L331,0)</f>
        <v>0</v>
      </c>
      <c r="AL331" s="29">
        <f>IF(AN331=21,L331,0)</f>
        <v>0</v>
      </c>
      <c r="AN331" s="12">
        <v>21</v>
      </c>
      <c r="AO331" s="12">
        <f>K331*1</f>
        <v>0</v>
      </c>
      <c r="AP331" s="12">
        <f>K331*(1-1)</f>
        <v>0</v>
      </c>
      <c r="AQ331" s="33" t="s">
        <v>85</v>
      </c>
      <c r="AV331" s="12">
        <f>AW331+AX331</f>
        <v>0</v>
      </c>
      <c r="AW331" s="12">
        <f>J331*AO331</f>
        <v>0</v>
      </c>
      <c r="AX331" s="12">
        <f>J331*AP331</f>
        <v>0</v>
      </c>
      <c r="AY331" s="78" t="s">
        <v>893</v>
      </c>
      <c r="AZ331" s="78" t="s">
        <v>925</v>
      </c>
      <c r="BA331" s="27" t="s">
        <v>929</v>
      </c>
      <c r="BC331" s="12">
        <f>AW331+AX331</f>
        <v>0</v>
      </c>
      <c r="BD331" s="12">
        <f>K331/(100-BE331)*100</f>
        <v>0</v>
      </c>
      <c r="BE331" s="12">
        <v>0</v>
      </c>
      <c r="BF331" s="12">
        <f>331</f>
        <v>331</v>
      </c>
      <c r="BH331" s="29">
        <f>J331*AO331</f>
        <v>0</v>
      </c>
      <c r="BI331" s="29">
        <f>J331*AP331</f>
        <v>0</v>
      </c>
      <c r="BJ331" s="29">
        <f>J331*K331</f>
        <v>0</v>
      </c>
    </row>
    <row r="332" spans="1:62" x14ac:dyDescent="0.2">
      <c r="C332" s="62" t="s">
        <v>296</v>
      </c>
      <c r="D332" s="113" t="s">
        <v>541</v>
      </c>
      <c r="E332" s="114"/>
      <c r="F332" s="114"/>
      <c r="G332" s="114"/>
      <c r="H332" s="114"/>
      <c r="I332" s="114"/>
      <c r="J332" s="114"/>
      <c r="K332" s="154"/>
      <c r="L332" s="114"/>
      <c r="M332" s="114"/>
    </row>
    <row r="333" spans="1:62" x14ac:dyDescent="0.2">
      <c r="A333" s="20" t="s">
        <v>271</v>
      </c>
      <c r="B333" s="20" t="s">
        <v>8</v>
      </c>
      <c r="C333" s="20" t="s">
        <v>320</v>
      </c>
      <c r="D333" s="121" t="s">
        <v>542</v>
      </c>
      <c r="E333" s="122"/>
      <c r="F333" s="122"/>
      <c r="G333" s="122"/>
      <c r="H333" s="122"/>
      <c r="I333" s="20" t="s">
        <v>788</v>
      </c>
      <c r="J333" s="29">
        <v>0.4</v>
      </c>
      <c r="K333" s="70">
        <v>0</v>
      </c>
      <c r="L333" s="29">
        <f>J333*K333</f>
        <v>0</v>
      </c>
      <c r="M333" s="33" t="s">
        <v>874</v>
      </c>
      <c r="Z333" s="12">
        <f>IF(AQ333="5",BJ333,0)</f>
        <v>0</v>
      </c>
      <c r="AB333" s="12">
        <f>IF(AQ333="1",BH333,0)</f>
        <v>0</v>
      </c>
      <c r="AC333" s="12">
        <f>IF(AQ333="1",BI333,0)</f>
        <v>0</v>
      </c>
      <c r="AD333" s="12">
        <f>IF(AQ333="7",BH333,0)</f>
        <v>0</v>
      </c>
      <c r="AE333" s="12">
        <f>IF(AQ333="7",BI333,0)</f>
        <v>0</v>
      </c>
      <c r="AF333" s="12">
        <f>IF(AQ333="2",BH333,0)</f>
        <v>0</v>
      </c>
      <c r="AG333" s="12">
        <f>IF(AQ333="2",BI333,0)</f>
        <v>0</v>
      </c>
      <c r="AH333" s="12">
        <f>IF(AQ333="0",BJ333,0)</f>
        <v>0</v>
      </c>
      <c r="AI333" s="27" t="s">
        <v>8</v>
      </c>
      <c r="AJ333" s="29">
        <f>IF(AN333=0,L333,0)</f>
        <v>0</v>
      </c>
      <c r="AK333" s="29">
        <f>IF(AN333=15,L333,0)</f>
        <v>0</v>
      </c>
      <c r="AL333" s="29">
        <f>IF(AN333=21,L333,0)</f>
        <v>0</v>
      </c>
      <c r="AN333" s="12">
        <v>21</v>
      </c>
      <c r="AO333" s="12">
        <f>K333*1</f>
        <v>0</v>
      </c>
      <c r="AP333" s="12">
        <f>K333*(1-1)</f>
        <v>0</v>
      </c>
      <c r="AQ333" s="33" t="s">
        <v>85</v>
      </c>
      <c r="AV333" s="12">
        <f>AW333+AX333</f>
        <v>0</v>
      </c>
      <c r="AW333" s="12">
        <f>J333*AO333</f>
        <v>0</v>
      </c>
      <c r="AX333" s="12">
        <f>J333*AP333</f>
        <v>0</v>
      </c>
      <c r="AY333" s="78" t="s">
        <v>893</v>
      </c>
      <c r="AZ333" s="78" t="s">
        <v>925</v>
      </c>
      <c r="BA333" s="27" t="s">
        <v>929</v>
      </c>
      <c r="BC333" s="12">
        <f>AW333+AX333</f>
        <v>0</v>
      </c>
      <c r="BD333" s="12">
        <f>K333/(100-BE333)*100</f>
        <v>0</v>
      </c>
      <c r="BE333" s="12">
        <v>0</v>
      </c>
      <c r="BF333" s="12">
        <f>333</f>
        <v>333</v>
      </c>
      <c r="BH333" s="29">
        <f>J333*AO333</f>
        <v>0</v>
      </c>
      <c r="BI333" s="29">
        <f>J333*AP333</f>
        <v>0</v>
      </c>
      <c r="BJ333" s="29">
        <f>J333*K333</f>
        <v>0</v>
      </c>
    </row>
    <row r="334" spans="1:62" x14ac:dyDescent="0.2">
      <c r="A334" s="54"/>
      <c r="B334" s="19" t="s">
        <v>8</v>
      </c>
      <c r="C334" s="19" t="s">
        <v>23</v>
      </c>
      <c r="D334" s="117" t="s">
        <v>52</v>
      </c>
      <c r="E334" s="118"/>
      <c r="F334" s="118"/>
      <c r="G334" s="118"/>
      <c r="H334" s="118"/>
      <c r="I334" s="54" t="s">
        <v>5</v>
      </c>
      <c r="J334" s="54" t="s">
        <v>5</v>
      </c>
      <c r="K334" s="68" t="s">
        <v>5</v>
      </c>
      <c r="L334" s="80">
        <f>SUM(L335:L337)</f>
        <v>0</v>
      </c>
      <c r="M334" s="27"/>
      <c r="AI334" s="27" t="s">
        <v>8</v>
      </c>
      <c r="AS334" s="80">
        <f>SUM(AJ335:AJ337)</f>
        <v>0</v>
      </c>
      <c r="AT334" s="80">
        <f>SUM(AK335:AK337)</f>
        <v>0</v>
      </c>
      <c r="AU334" s="80">
        <f>SUM(AL335:AL337)</f>
        <v>0</v>
      </c>
    </row>
    <row r="335" spans="1:62" x14ac:dyDescent="0.2">
      <c r="A335" s="18" t="s">
        <v>272</v>
      </c>
      <c r="B335" s="18" t="s">
        <v>8</v>
      </c>
      <c r="C335" s="18" t="s">
        <v>384</v>
      </c>
      <c r="D335" s="111" t="s">
        <v>640</v>
      </c>
      <c r="E335" s="112"/>
      <c r="F335" s="112"/>
      <c r="G335" s="112"/>
      <c r="H335" s="112"/>
      <c r="I335" s="18" t="s">
        <v>783</v>
      </c>
      <c r="J335" s="26">
        <v>412</v>
      </c>
      <c r="K335" s="69">
        <v>0</v>
      </c>
      <c r="L335" s="26">
        <f>J335*K335</f>
        <v>0</v>
      </c>
      <c r="M335" s="32" t="s">
        <v>874</v>
      </c>
      <c r="Z335" s="12">
        <f>IF(AQ335="5",BJ335,0)</f>
        <v>0</v>
      </c>
      <c r="AB335" s="12">
        <f>IF(AQ335="1",BH335,0)</f>
        <v>0</v>
      </c>
      <c r="AC335" s="12">
        <f>IF(AQ335="1",BI335,0)</f>
        <v>0</v>
      </c>
      <c r="AD335" s="12">
        <f>IF(AQ335="7",BH335,0)</f>
        <v>0</v>
      </c>
      <c r="AE335" s="12">
        <f>IF(AQ335="7",BI335,0)</f>
        <v>0</v>
      </c>
      <c r="AF335" s="12">
        <f>IF(AQ335="2",BH335,0)</f>
        <v>0</v>
      </c>
      <c r="AG335" s="12">
        <f>IF(AQ335="2",BI335,0)</f>
        <v>0</v>
      </c>
      <c r="AH335" s="12">
        <f>IF(AQ335="0",BJ335,0)</f>
        <v>0</v>
      </c>
      <c r="AI335" s="27" t="s">
        <v>8</v>
      </c>
      <c r="AJ335" s="26">
        <f>IF(AN335=0,L335,0)</f>
        <v>0</v>
      </c>
      <c r="AK335" s="26">
        <f>IF(AN335=15,L335,0)</f>
        <v>0</v>
      </c>
      <c r="AL335" s="26">
        <f>IF(AN335=21,L335,0)</f>
        <v>0</v>
      </c>
      <c r="AN335" s="12">
        <v>21</v>
      </c>
      <c r="AO335" s="12">
        <f>K335*0.854252873563218</f>
        <v>0</v>
      </c>
      <c r="AP335" s="12">
        <f>K335*(1-0.854252873563218)</f>
        <v>0</v>
      </c>
      <c r="AQ335" s="32" t="s">
        <v>85</v>
      </c>
      <c r="AV335" s="12">
        <f>AW335+AX335</f>
        <v>0</v>
      </c>
      <c r="AW335" s="12">
        <f>J335*AO335</f>
        <v>0</v>
      </c>
      <c r="AX335" s="12">
        <f>J335*AP335</f>
        <v>0</v>
      </c>
      <c r="AY335" s="78" t="s">
        <v>897</v>
      </c>
      <c r="AZ335" s="78" t="s">
        <v>926</v>
      </c>
      <c r="BA335" s="27" t="s">
        <v>929</v>
      </c>
      <c r="BC335" s="12">
        <f>AW335+AX335</f>
        <v>0</v>
      </c>
      <c r="BD335" s="12">
        <f>K335/(100-BE335)*100</f>
        <v>0</v>
      </c>
      <c r="BE335" s="12">
        <v>0</v>
      </c>
      <c r="BF335" s="12">
        <f>335</f>
        <v>335</v>
      </c>
      <c r="BH335" s="26">
        <f>J335*AO335</f>
        <v>0</v>
      </c>
      <c r="BI335" s="26">
        <f>J335*AP335</f>
        <v>0</v>
      </c>
      <c r="BJ335" s="26">
        <f>J335*K335</f>
        <v>0</v>
      </c>
    </row>
    <row r="336" spans="1:62" x14ac:dyDescent="0.2">
      <c r="D336" s="157" t="s">
        <v>853</v>
      </c>
      <c r="E336" s="158"/>
      <c r="F336" s="158"/>
      <c r="G336" s="158"/>
      <c r="H336" s="158"/>
      <c r="K336" s="71"/>
    </row>
    <row r="337" spans="1:62" x14ac:dyDescent="0.2">
      <c r="A337" s="18" t="s">
        <v>273</v>
      </c>
      <c r="B337" s="18" t="s">
        <v>8</v>
      </c>
      <c r="C337" s="18" t="s">
        <v>385</v>
      </c>
      <c r="D337" s="111" t="s">
        <v>640</v>
      </c>
      <c r="E337" s="112"/>
      <c r="F337" s="112"/>
      <c r="G337" s="112"/>
      <c r="H337" s="112"/>
      <c r="I337" s="18" t="s">
        <v>783</v>
      </c>
      <c r="J337" s="26">
        <v>425</v>
      </c>
      <c r="K337" s="69">
        <v>0</v>
      </c>
      <c r="L337" s="26">
        <f>J337*K337</f>
        <v>0</v>
      </c>
      <c r="M337" s="32" t="s">
        <v>874</v>
      </c>
      <c r="Z337" s="12">
        <f>IF(AQ337="5",BJ337,0)</f>
        <v>0</v>
      </c>
      <c r="AB337" s="12">
        <f>IF(AQ337="1",BH337,0)</f>
        <v>0</v>
      </c>
      <c r="AC337" s="12">
        <f>IF(AQ337="1",BI337,0)</f>
        <v>0</v>
      </c>
      <c r="AD337" s="12">
        <f>IF(AQ337="7",BH337,0)</f>
        <v>0</v>
      </c>
      <c r="AE337" s="12">
        <f>IF(AQ337="7",BI337,0)</f>
        <v>0</v>
      </c>
      <c r="AF337" s="12">
        <f>IF(AQ337="2",BH337,0)</f>
        <v>0</v>
      </c>
      <c r="AG337" s="12">
        <f>IF(AQ337="2",BI337,0)</f>
        <v>0</v>
      </c>
      <c r="AH337" s="12">
        <f>IF(AQ337="0",BJ337,0)</f>
        <v>0</v>
      </c>
      <c r="AI337" s="27" t="s">
        <v>8</v>
      </c>
      <c r="AJ337" s="26">
        <f>IF(AN337=0,L337,0)</f>
        <v>0</v>
      </c>
      <c r="AK337" s="26">
        <f>IF(AN337=15,L337,0)</f>
        <v>0</v>
      </c>
      <c r="AL337" s="26">
        <f>IF(AN337=21,L337,0)</f>
        <v>0</v>
      </c>
      <c r="AN337" s="12">
        <v>21</v>
      </c>
      <c r="AO337" s="12">
        <f>K337*0.863288409703504</f>
        <v>0</v>
      </c>
      <c r="AP337" s="12">
        <f>K337*(1-0.863288409703504)</f>
        <v>0</v>
      </c>
      <c r="AQ337" s="32" t="s">
        <v>85</v>
      </c>
      <c r="AV337" s="12">
        <f>AW337+AX337</f>
        <v>0</v>
      </c>
      <c r="AW337" s="12">
        <f>J337*AO337</f>
        <v>0</v>
      </c>
      <c r="AX337" s="12">
        <f>J337*AP337</f>
        <v>0</v>
      </c>
      <c r="AY337" s="78" t="s">
        <v>897</v>
      </c>
      <c r="AZ337" s="78" t="s">
        <v>926</v>
      </c>
      <c r="BA337" s="27" t="s">
        <v>929</v>
      </c>
      <c r="BC337" s="12">
        <f>AW337+AX337</f>
        <v>0</v>
      </c>
      <c r="BD337" s="12">
        <f>K337/(100-BE337)*100</f>
        <v>0</v>
      </c>
      <c r="BE337" s="12">
        <v>0</v>
      </c>
      <c r="BF337" s="12">
        <f>337</f>
        <v>337</v>
      </c>
      <c r="BH337" s="26">
        <f>J337*AO337</f>
        <v>0</v>
      </c>
      <c r="BI337" s="26">
        <f>J337*AP337</f>
        <v>0</v>
      </c>
      <c r="BJ337" s="26">
        <f>J337*K337</f>
        <v>0</v>
      </c>
    </row>
    <row r="338" spans="1:62" x14ac:dyDescent="0.2">
      <c r="D338" s="157" t="s">
        <v>854</v>
      </c>
      <c r="E338" s="158"/>
      <c r="F338" s="158"/>
      <c r="G338" s="158"/>
      <c r="H338" s="158"/>
      <c r="K338" s="71"/>
    </row>
    <row r="339" spans="1:62" x14ac:dyDescent="0.2">
      <c r="A339" s="54"/>
      <c r="B339" s="19" t="s">
        <v>8</v>
      </c>
      <c r="C339" s="19" t="s">
        <v>24</v>
      </c>
      <c r="D339" s="117" t="s">
        <v>53</v>
      </c>
      <c r="E339" s="118"/>
      <c r="F339" s="118"/>
      <c r="G339" s="118"/>
      <c r="H339" s="118"/>
      <c r="I339" s="54" t="s">
        <v>5</v>
      </c>
      <c r="J339" s="54" t="s">
        <v>5</v>
      </c>
      <c r="K339" s="68" t="s">
        <v>5</v>
      </c>
      <c r="L339" s="80">
        <f>SUM(L340:L345)</f>
        <v>0</v>
      </c>
      <c r="M339" s="27"/>
      <c r="AI339" s="27" t="s">
        <v>8</v>
      </c>
      <c r="AS339" s="80">
        <f>SUM(AJ340:AJ345)</f>
        <v>0</v>
      </c>
      <c r="AT339" s="80">
        <f>SUM(AK340:AK345)</f>
        <v>0</v>
      </c>
      <c r="AU339" s="80">
        <f>SUM(AL340:AL345)</f>
        <v>0</v>
      </c>
    </row>
    <row r="340" spans="1:62" x14ac:dyDescent="0.2">
      <c r="A340" s="18" t="s">
        <v>274</v>
      </c>
      <c r="B340" s="18" t="s">
        <v>8</v>
      </c>
      <c r="C340" s="18" t="s">
        <v>389</v>
      </c>
      <c r="D340" s="111" t="s">
        <v>650</v>
      </c>
      <c r="E340" s="112"/>
      <c r="F340" s="112"/>
      <c r="G340" s="112"/>
      <c r="H340" s="112"/>
      <c r="I340" s="18" t="s">
        <v>783</v>
      </c>
      <c r="J340" s="26">
        <v>391.5</v>
      </c>
      <c r="K340" s="69">
        <v>0</v>
      </c>
      <c r="L340" s="26">
        <f>J340*K340</f>
        <v>0</v>
      </c>
      <c r="M340" s="32" t="s">
        <v>874</v>
      </c>
      <c r="Z340" s="12">
        <f>IF(AQ340="5",BJ340,0)</f>
        <v>0</v>
      </c>
      <c r="AB340" s="12">
        <f>IF(AQ340="1",BH340,0)</f>
        <v>0</v>
      </c>
      <c r="AC340" s="12">
        <f>IF(AQ340="1",BI340,0)</f>
        <v>0</v>
      </c>
      <c r="AD340" s="12">
        <f>IF(AQ340="7",BH340,0)</f>
        <v>0</v>
      </c>
      <c r="AE340" s="12">
        <f>IF(AQ340="7",BI340,0)</f>
        <v>0</v>
      </c>
      <c r="AF340" s="12">
        <f>IF(AQ340="2",BH340,0)</f>
        <v>0</v>
      </c>
      <c r="AG340" s="12">
        <f>IF(AQ340="2",BI340,0)</f>
        <v>0</v>
      </c>
      <c r="AH340" s="12">
        <f>IF(AQ340="0",BJ340,0)</f>
        <v>0</v>
      </c>
      <c r="AI340" s="27" t="s">
        <v>8</v>
      </c>
      <c r="AJ340" s="26">
        <f>IF(AN340=0,L340,0)</f>
        <v>0</v>
      </c>
      <c r="AK340" s="26">
        <f>IF(AN340=15,L340,0)</f>
        <v>0</v>
      </c>
      <c r="AL340" s="26">
        <f>IF(AN340=21,L340,0)</f>
        <v>0</v>
      </c>
      <c r="AN340" s="12">
        <v>21</v>
      </c>
      <c r="AO340" s="12">
        <f>K340*0.626095141461086</f>
        <v>0</v>
      </c>
      <c r="AP340" s="12">
        <f>K340*(1-0.626095141461086)</f>
        <v>0</v>
      </c>
      <c r="AQ340" s="32" t="s">
        <v>85</v>
      </c>
      <c r="AV340" s="12">
        <f>AW340+AX340</f>
        <v>0</v>
      </c>
      <c r="AW340" s="12">
        <f>J340*AO340</f>
        <v>0</v>
      </c>
      <c r="AX340" s="12">
        <f>J340*AP340</f>
        <v>0</v>
      </c>
      <c r="AY340" s="78" t="s">
        <v>898</v>
      </c>
      <c r="AZ340" s="78" t="s">
        <v>926</v>
      </c>
      <c r="BA340" s="27" t="s">
        <v>929</v>
      </c>
      <c r="BC340" s="12">
        <f>AW340+AX340</f>
        <v>0</v>
      </c>
      <c r="BD340" s="12">
        <f>K340/(100-BE340)*100</f>
        <v>0</v>
      </c>
      <c r="BE340" s="12">
        <v>0</v>
      </c>
      <c r="BF340" s="12">
        <f>340</f>
        <v>340</v>
      </c>
      <c r="BH340" s="26">
        <f>J340*AO340</f>
        <v>0</v>
      </c>
      <c r="BI340" s="26">
        <f>J340*AP340</f>
        <v>0</v>
      </c>
      <c r="BJ340" s="26">
        <f>J340*K340</f>
        <v>0</v>
      </c>
    </row>
    <row r="341" spans="1:62" x14ac:dyDescent="0.2">
      <c r="D341" s="157" t="s">
        <v>855</v>
      </c>
      <c r="E341" s="158"/>
      <c r="F341" s="158"/>
      <c r="G341" s="158"/>
      <c r="H341" s="158"/>
      <c r="K341" s="71"/>
    </row>
    <row r="342" spans="1:62" x14ac:dyDescent="0.2">
      <c r="A342" s="18" t="s">
        <v>275</v>
      </c>
      <c r="B342" s="18" t="s">
        <v>8</v>
      </c>
      <c r="C342" s="18" t="s">
        <v>390</v>
      </c>
      <c r="D342" s="111" t="s">
        <v>651</v>
      </c>
      <c r="E342" s="112"/>
      <c r="F342" s="112"/>
      <c r="G342" s="112"/>
      <c r="H342" s="112"/>
      <c r="I342" s="18" t="s">
        <v>783</v>
      </c>
      <c r="J342" s="26">
        <v>391.5</v>
      </c>
      <c r="K342" s="69">
        <v>0</v>
      </c>
      <c r="L342" s="26">
        <f>J342*K342</f>
        <v>0</v>
      </c>
      <c r="M342" s="32" t="s">
        <v>874</v>
      </c>
      <c r="Z342" s="12">
        <f>IF(AQ342="5",BJ342,0)</f>
        <v>0</v>
      </c>
      <c r="AB342" s="12">
        <f>IF(AQ342="1",BH342,0)</f>
        <v>0</v>
      </c>
      <c r="AC342" s="12">
        <f>IF(AQ342="1",BI342,0)</f>
        <v>0</v>
      </c>
      <c r="AD342" s="12">
        <f>IF(AQ342="7",BH342,0)</f>
        <v>0</v>
      </c>
      <c r="AE342" s="12">
        <f>IF(AQ342="7",BI342,0)</f>
        <v>0</v>
      </c>
      <c r="AF342" s="12">
        <f>IF(AQ342="2",BH342,0)</f>
        <v>0</v>
      </c>
      <c r="AG342" s="12">
        <f>IF(AQ342="2",BI342,0)</f>
        <v>0</v>
      </c>
      <c r="AH342" s="12">
        <f>IF(AQ342="0",BJ342,0)</f>
        <v>0</v>
      </c>
      <c r="AI342" s="27" t="s">
        <v>8</v>
      </c>
      <c r="AJ342" s="26">
        <f>IF(AN342=0,L342,0)</f>
        <v>0</v>
      </c>
      <c r="AK342" s="26">
        <f>IF(AN342=15,L342,0)</f>
        <v>0</v>
      </c>
      <c r="AL342" s="26">
        <f>IF(AN342=21,L342,0)</f>
        <v>0</v>
      </c>
      <c r="AN342" s="12">
        <v>21</v>
      </c>
      <c r="AO342" s="12">
        <f>K342*0.919318153888039</f>
        <v>0</v>
      </c>
      <c r="AP342" s="12">
        <f>K342*(1-0.919318153888039)</f>
        <v>0</v>
      </c>
      <c r="AQ342" s="32" t="s">
        <v>85</v>
      </c>
      <c r="AV342" s="12">
        <f>AW342+AX342</f>
        <v>0</v>
      </c>
      <c r="AW342" s="12">
        <f>J342*AO342</f>
        <v>0</v>
      </c>
      <c r="AX342" s="12">
        <f>J342*AP342</f>
        <v>0</v>
      </c>
      <c r="AY342" s="78" t="s">
        <v>898</v>
      </c>
      <c r="AZ342" s="78" t="s">
        <v>926</v>
      </c>
      <c r="BA342" s="27" t="s">
        <v>929</v>
      </c>
      <c r="BC342" s="12">
        <f>AW342+AX342</f>
        <v>0</v>
      </c>
      <c r="BD342" s="12">
        <f>K342/(100-BE342)*100</f>
        <v>0</v>
      </c>
      <c r="BE342" s="12">
        <v>0</v>
      </c>
      <c r="BF342" s="12">
        <f>342</f>
        <v>342</v>
      </c>
      <c r="BH342" s="26">
        <f>J342*AO342</f>
        <v>0</v>
      </c>
      <c r="BI342" s="26">
        <f>J342*AP342</f>
        <v>0</v>
      </c>
      <c r="BJ342" s="26">
        <f>J342*K342</f>
        <v>0</v>
      </c>
    </row>
    <row r="343" spans="1:62" x14ac:dyDescent="0.2">
      <c r="A343" s="18" t="s">
        <v>276</v>
      </c>
      <c r="B343" s="18" t="s">
        <v>8</v>
      </c>
      <c r="C343" s="18" t="s">
        <v>391</v>
      </c>
      <c r="D343" s="111" t="s">
        <v>652</v>
      </c>
      <c r="E343" s="112"/>
      <c r="F343" s="112"/>
      <c r="G343" s="112"/>
      <c r="H343" s="112"/>
      <c r="I343" s="18" t="s">
        <v>783</v>
      </c>
      <c r="J343" s="26">
        <v>391.5</v>
      </c>
      <c r="K343" s="69">
        <v>0</v>
      </c>
      <c r="L343" s="26">
        <f>J343*K343</f>
        <v>0</v>
      </c>
      <c r="M343" s="32" t="s">
        <v>874</v>
      </c>
      <c r="Z343" s="12">
        <f>IF(AQ343="5",BJ343,0)</f>
        <v>0</v>
      </c>
      <c r="AB343" s="12">
        <f>IF(AQ343="1",BH343,0)</f>
        <v>0</v>
      </c>
      <c r="AC343" s="12">
        <f>IF(AQ343="1",BI343,0)</f>
        <v>0</v>
      </c>
      <c r="AD343" s="12">
        <f>IF(AQ343="7",BH343,0)</f>
        <v>0</v>
      </c>
      <c r="AE343" s="12">
        <f>IF(AQ343="7",BI343,0)</f>
        <v>0</v>
      </c>
      <c r="AF343" s="12">
        <f>IF(AQ343="2",BH343,0)</f>
        <v>0</v>
      </c>
      <c r="AG343" s="12">
        <f>IF(AQ343="2",BI343,0)</f>
        <v>0</v>
      </c>
      <c r="AH343" s="12">
        <f>IF(AQ343="0",BJ343,0)</f>
        <v>0</v>
      </c>
      <c r="AI343" s="27" t="s">
        <v>8</v>
      </c>
      <c r="AJ343" s="26">
        <f>IF(AN343=0,L343,0)</f>
        <v>0</v>
      </c>
      <c r="AK343" s="26">
        <f>IF(AN343=15,L343,0)</f>
        <v>0</v>
      </c>
      <c r="AL343" s="26">
        <f>IF(AN343=21,L343,0)</f>
        <v>0</v>
      </c>
      <c r="AN343" s="12">
        <v>21</v>
      </c>
      <c r="AO343" s="12">
        <f>K343*0.655820645391458</f>
        <v>0</v>
      </c>
      <c r="AP343" s="12">
        <f>K343*(1-0.655820645391458)</f>
        <v>0</v>
      </c>
      <c r="AQ343" s="32" t="s">
        <v>85</v>
      </c>
      <c r="AV343" s="12">
        <f>AW343+AX343</f>
        <v>0</v>
      </c>
      <c r="AW343" s="12">
        <f>J343*AO343</f>
        <v>0</v>
      </c>
      <c r="AX343" s="12">
        <f>J343*AP343</f>
        <v>0</v>
      </c>
      <c r="AY343" s="78" t="s">
        <v>898</v>
      </c>
      <c r="AZ343" s="78" t="s">
        <v>926</v>
      </c>
      <c r="BA343" s="27" t="s">
        <v>929</v>
      </c>
      <c r="BC343" s="12">
        <f>AW343+AX343</f>
        <v>0</v>
      </c>
      <c r="BD343" s="12">
        <f>K343/(100-BE343)*100</f>
        <v>0</v>
      </c>
      <c r="BE343" s="12">
        <v>0</v>
      </c>
      <c r="BF343" s="12">
        <f>343</f>
        <v>343</v>
      </c>
      <c r="BH343" s="26">
        <f>J343*AO343</f>
        <v>0</v>
      </c>
      <c r="BI343" s="26">
        <f>J343*AP343</f>
        <v>0</v>
      </c>
      <c r="BJ343" s="26">
        <f>J343*K343</f>
        <v>0</v>
      </c>
    </row>
    <row r="344" spans="1:62" x14ac:dyDescent="0.2">
      <c r="D344" s="157" t="s">
        <v>855</v>
      </c>
      <c r="E344" s="158"/>
      <c r="F344" s="158"/>
      <c r="G344" s="158"/>
      <c r="H344" s="158"/>
      <c r="K344" s="71"/>
    </row>
    <row r="345" spans="1:62" x14ac:dyDescent="0.2">
      <c r="A345" s="18" t="s">
        <v>277</v>
      </c>
      <c r="B345" s="18" t="s">
        <v>8</v>
      </c>
      <c r="C345" s="18" t="s">
        <v>392</v>
      </c>
      <c r="D345" s="111" t="s">
        <v>653</v>
      </c>
      <c r="E345" s="112"/>
      <c r="F345" s="112"/>
      <c r="G345" s="112"/>
      <c r="H345" s="112"/>
      <c r="I345" s="18" t="s">
        <v>783</v>
      </c>
      <c r="J345" s="26">
        <v>391.5</v>
      </c>
      <c r="K345" s="69">
        <v>0</v>
      </c>
      <c r="L345" s="26">
        <f>J345*K345</f>
        <v>0</v>
      </c>
      <c r="M345" s="32" t="s">
        <v>874</v>
      </c>
      <c r="Z345" s="12">
        <f>IF(AQ345="5",BJ345,0)</f>
        <v>0</v>
      </c>
      <c r="AB345" s="12">
        <f>IF(AQ345="1",BH345,0)</f>
        <v>0</v>
      </c>
      <c r="AC345" s="12">
        <f>IF(AQ345="1",BI345,0)</f>
        <v>0</v>
      </c>
      <c r="AD345" s="12">
        <f>IF(AQ345="7",BH345,0)</f>
        <v>0</v>
      </c>
      <c r="AE345" s="12">
        <f>IF(AQ345="7",BI345,0)</f>
        <v>0</v>
      </c>
      <c r="AF345" s="12">
        <f>IF(AQ345="2",BH345,0)</f>
        <v>0</v>
      </c>
      <c r="AG345" s="12">
        <f>IF(AQ345="2",BI345,0)</f>
        <v>0</v>
      </c>
      <c r="AH345" s="12">
        <f>IF(AQ345="0",BJ345,0)</f>
        <v>0</v>
      </c>
      <c r="AI345" s="27" t="s">
        <v>8</v>
      </c>
      <c r="AJ345" s="26">
        <f>IF(AN345=0,L345,0)</f>
        <v>0</v>
      </c>
      <c r="AK345" s="26">
        <f>IF(AN345=15,L345,0)</f>
        <v>0</v>
      </c>
      <c r="AL345" s="26">
        <f>IF(AN345=21,L345,0)</f>
        <v>0</v>
      </c>
      <c r="AN345" s="12">
        <v>21</v>
      </c>
      <c r="AO345" s="12">
        <f>K345*0.335326086956522</f>
        <v>0</v>
      </c>
      <c r="AP345" s="12">
        <f>K345*(1-0.335326086956522)</f>
        <v>0</v>
      </c>
      <c r="AQ345" s="32" t="s">
        <v>85</v>
      </c>
      <c r="AV345" s="12">
        <f>AW345+AX345</f>
        <v>0</v>
      </c>
      <c r="AW345" s="12">
        <f>J345*AO345</f>
        <v>0</v>
      </c>
      <c r="AX345" s="12">
        <f>J345*AP345</f>
        <v>0</v>
      </c>
      <c r="AY345" s="78" t="s">
        <v>898</v>
      </c>
      <c r="AZ345" s="78" t="s">
        <v>926</v>
      </c>
      <c r="BA345" s="27" t="s">
        <v>929</v>
      </c>
      <c r="BC345" s="12">
        <f>AW345+AX345</f>
        <v>0</v>
      </c>
      <c r="BD345" s="12">
        <f>K345/(100-BE345)*100</f>
        <v>0</v>
      </c>
      <c r="BE345" s="12">
        <v>0</v>
      </c>
      <c r="BF345" s="12">
        <f>345</f>
        <v>345</v>
      </c>
      <c r="BH345" s="26">
        <f>J345*AO345</f>
        <v>0</v>
      </c>
      <c r="BI345" s="26">
        <f>J345*AP345</f>
        <v>0</v>
      </c>
      <c r="BJ345" s="26">
        <f>J345*K345</f>
        <v>0</v>
      </c>
    </row>
    <row r="346" spans="1:62" x14ac:dyDescent="0.2">
      <c r="A346" s="54"/>
      <c r="B346" s="19" t="s">
        <v>8</v>
      </c>
      <c r="C346" s="19" t="s">
        <v>34</v>
      </c>
      <c r="D346" s="117" t="s">
        <v>63</v>
      </c>
      <c r="E346" s="118"/>
      <c r="F346" s="118"/>
      <c r="G346" s="118"/>
      <c r="H346" s="118"/>
      <c r="I346" s="54" t="s">
        <v>5</v>
      </c>
      <c r="J346" s="54" t="s">
        <v>5</v>
      </c>
      <c r="K346" s="68" t="s">
        <v>5</v>
      </c>
      <c r="L346" s="80">
        <f>SUM(L347:L347)</f>
        <v>0</v>
      </c>
      <c r="M346" s="27"/>
      <c r="AI346" s="27" t="s">
        <v>8</v>
      </c>
      <c r="AS346" s="80">
        <f>SUM(AJ347:AJ347)</f>
        <v>0</v>
      </c>
      <c r="AT346" s="80">
        <f>SUM(AK347:AK347)</f>
        <v>0</v>
      </c>
      <c r="AU346" s="80">
        <f>SUM(AL347:AL347)</f>
        <v>0</v>
      </c>
    </row>
    <row r="347" spans="1:62" x14ac:dyDescent="0.2">
      <c r="A347" s="18" t="s">
        <v>278</v>
      </c>
      <c r="B347" s="18" t="s">
        <v>8</v>
      </c>
      <c r="C347" s="18" t="s">
        <v>447</v>
      </c>
      <c r="D347" s="111" t="s">
        <v>761</v>
      </c>
      <c r="E347" s="112"/>
      <c r="F347" s="112"/>
      <c r="G347" s="112"/>
      <c r="H347" s="112"/>
      <c r="I347" s="18" t="s">
        <v>782</v>
      </c>
      <c r="J347" s="26">
        <v>75.5</v>
      </c>
      <c r="K347" s="69">
        <v>0</v>
      </c>
      <c r="L347" s="26">
        <f>J347*K347</f>
        <v>0</v>
      </c>
      <c r="M347" s="32" t="s">
        <v>874</v>
      </c>
      <c r="Z347" s="12">
        <f>IF(AQ347="5",BJ347,0)</f>
        <v>0</v>
      </c>
      <c r="AB347" s="12">
        <f>IF(AQ347="1",BH347,0)</f>
        <v>0</v>
      </c>
      <c r="AC347" s="12">
        <f>IF(AQ347="1",BI347,0)</f>
        <v>0</v>
      </c>
      <c r="AD347" s="12">
        <f>IF(AQ347="7",BH347,0)</f>
        <v>0</v>
      </c>
      <c r="AE347" s="12">
        <f>IF(AQ347="7",BI347,0)</f>
        <v>0</v>
      </c>
      <c r="AF347" s="12">
        <f>IF(AQ347="2",BH347,0)</f>
        <v>0</v>
      </c>
      <c r="AG347" s="12">
        <f>IF(AQ347="2",BI347,0)</f>
        <v>0</v>
      </c>
      <c r="AH347" s="12">
        <f>IF(AQ347="0",BJ347,0)</f>
        <v>0</v>
      </c>
      <c r="AI347" s="27" t="s">
        <v>8</v>
      </c>
      <c r="AJ347" s="26">
        <f>IF(AN347=0,L347,0)</f>
        <v>0</v>
      </c>
      <c r="AK347" s="26">
        <f>IF(AN347=15,L347,0)</f>
        <v>0</v>
      </c>
      <c r="AL347" s="26">
        <f>IF(AN347=21,L347,0)</f>
        <v>0</v>
      </c>
      <c r="AN347" s="12">
        <v>21</v>
      </c>
      <c r="AO347" s="12">
        <f>K347*0.682069857697283</f>
        <v>0</v>
      </c>
      <c r="AP347" s="12">
        <f>K347*(1-0.682069857697283)</f>
        <v>0</v>
      </c>
      <c r="AQ347" s="32" t="s">
        <v>85</v>
      </c>
      <c r="AV347" s="12">
        <f>AW347+AX347</f>
        <v>0</v>
      </c>
      <c r="AW347" s="12">
        <f>J347*AO347</f>
        <v>0</v>
      </c>
      <c r="AX347" s="12">
        <f>J347*AP347</f>
        <v>0</v>
      </c>
      <c r="AY347" s="78" t="s">
        <v>908</v>
      </c>
      <c r="AZ347" s="78" t="s">
        <v>927</v>
      </c>
      <c r="BA347" s="27" t="s">
        <v>929</v>
      </c>
      <c r="BC347" s="12">
        <f>AW347+AX347</f>
        <v>0</v>
      </c>
      <c r="BD347" s="12">
        <f>K347/(100-BE347)*100</f>
        <v>0</v>
      </c>
      <c r="BE347" s="12">
        <v>0</v>
      </c>
      <c r="BF347" s="12">
        <f>347</f>
        <v>347</v>
      </c>
      <c r="BH347" s="26">
        <f>J347*AO347</f>
        <v>0</v>
      </c>
      <c r="BI347" s="26">
        <f>J347*AP347</f>
        <v>0</v>
      </c>
      <c r="BJ347" s="26">
        <f>J347*K347</f>
        <v>0</v>
      </c>
    </row>
    <row r="348" spans="1:62" x14ac:dyDescent="0.2">
      <c r="D348" s="157" t="s">
        <v>862</v>
      </c>
      <c r="E348" s="158"/>
      <c r="F348" s="158"/>
      <c r="G348" s="158"/>
      <c r="H348" s="158"/>
      <c r="K348" s="71"/>
    </row>
    <row r="349" spans="1:62" x14ac:dyDescent="0.2">
      <c r="A349" s="54"/>
      <c r="B349" s="19" t="s">
        <v>8</v>
      </c>
      <c r="C349" s="19" t="s">
        <v>36</v>
      </c>
      <c r="D349" s="117" t="s">
        <v>65</v>
      </c>
      <c r="E349" s="118"/>
      <c r="F349" s="118"/>
      <c r="G349" s="118"/>
      <c r="H349" s="118"/>
      <c r="I349" s="54" t="s">
        <v>5</v>
      </c>
      <c r="J349" s="54" t="s">
        <v>5</v>
      </c>
      <c r="K349" s="68" t="s">
        <v>5</v>
      </c>
      <c r="L349" s="80">
        <f>SUM(L350:L350)</f>
        <v>0</v>
      </c>
      <c r="M349" s="27"/>
      <c r="AI349" s="27" t="s">
        <v>8</v>
      </c>
      <c r="AS349" s="80">
        <f>SUM(AJ350:AJ350)</f>
        <v>0</v>
      </c>
      <c r="AT349" s="80">
        <f>SUM(AK350:AK350)</f>
        <v>0</v>
      </c>
      <c r="AU349" s="80">
        <f>SUM(AL350:AL350)</f>
        <v>0</v>
      </c>
    </row>
    <row r="350" spans="1:62" x14ac:dyDescent="0.2">
      <c r="A350" s="18" t="s">
        <v>279</v>
      </c>
      <c r="B350" s="18" t="s">
        <v>8</v>
      </c>
      <c r="C350" s="18" t="s">
        <v>451</v>
      </c>
      <c r="D350" s="111" t="s">
        <v>771</v>
      </c>
      <c r="E350" s="112"/>
      <c r="F350" s="112"/>
      <c r="G350" s="112"/>
      <c r="H350" s="112"/>
      <c r="I350" s="18" t="s">
        <v>786</v>
      </c>
      <c r="J350" s="26">
        <v>447.90032000000002</v>
      </c>
      <c r="K350" s="69">
        <v>0</v>
      </c>
      <c r="L350" s="26">
        <f>J350*K350</f>
        <v>0</v>
      </c>
      <c r="M350" s="32" t="s">
        <v>874</v>
      </c>
      <c r="Z350" s="12">
        <f>IF(AQ350="5",BJ350,0)</f>
        <v>0</v>
      </c>
      <c r="AB350" s="12">
        <f>IF(AQ350="1",BH350,0)</f>
        <v>0</v>
      </c>
      <c r="AC350" s="12">
        <f>IF(AQ350="1",BI350,0)</f>
        <v>0</v>
      </c>
      <c r="AD350" s="12">
        <f>IF(AQ350="7",BH350,0)</f>
        <v>0</v>
      </c>
      <c r="AE350" s="12">
        <f>IF(AQ350="7",BI350,0)</f>
        <v>0</v>
      </c>
      <c r="AF350" s="12">
        <f>IF(AQ350="2",BH350,0)</f>
        <v>0</v>
      </c>
      <c r="AG350" s="12">
        <f>IF(AQ350="2",BI350,0)</f>
        <v>0</v>
      </c>
      <c r="AH350" s="12">
        <f>IF(AQ350="0",BJ350,0)</f>
        <v>0</v>
      </c>
      <c r="AI350" s="27" t="s">
        <v>8</v>
      </c>
      <c r="AJ350" s="26">
        <f>IF(AN350=0,L350,0)</f>
        <v>0</v>
      </c>
      <c r="AK350" s="26">
        <f>IF(AN350=15,L350,0)</f>
        <v>0</v>
      </c>
      <c r="AL350" s="26">
        <f>IF(AN350=21,L350,0)</f>
        <v>0</v>
      </c>
      <c r="AN350" s="12">
        <v>21</v>
      </c>
      <c r="AO350" s="12">
        <f>K350*0</f>
        <v>0</v>
      </c>
      <c r="AP350" s="12">
        <f>K350*(1-0)</f>
        <v>0</v>
      </c>
      <c r="AQ350" s="32" t="s">
        <v>89</v>
      </c>
      <c r="AV350" s="12">
        <f>AW350+AX350</f>
        <v>0</v>
      </c>
      <c r="AW350" s="12">
        <f>J350*AO350</f>
        <v>0</v>
      </c>
      <c r="AX350" s="12">
        <f>J350*AP350</f>
        <v>0</v>
      </c>
      <c r="AY350" s="78" t="s">
        <v>910</v>
      </c>
      <c r="AZ350" s="78" t="s">
        <v>927</v>
      </c>
      <c r="BA350" s="27" t="s">
        <v>929</v>
      </c>
      <c r="BC350" s="12">
        <f>AW350+AX350</f>
        <v>0</v>
      </c>
      <c r="BD350" s="12">
        <f>K350/(100-BE350)*100</f>
        <v>0</v>
      </c>
      <c r="BE350" s="12">
        <v>0</v>
      </c>
      <c r="BF350" s="12">
        <f>350</f>
        <v>350</v>
      </c>
      <c r="BH350" s="26">
        <f>J350*AO350</f>
        <v>0</v>
      </c>
      <c r="BI350" s="26">
        <f>J350*AP350</f>
        <v>0</v>
      </c>
      <c r="BJ350" s="26">
        <f>J350*K350</f>
        <v>0</v>
      </c>
    </row>
    <row r="351" spans="1:62" x14ac:dyDescent="0.2">
      <c r="A351" s="54"/>
      <c r="B351" s="19" t="s">
        <v>8</v>
      </c>
      <c r="C351" s="19" t="s">
        <v>38</v>
      </c>
      <c r="D351" s="117" t="s">
        <v>68</v>
      </c>
      <c r="E351" s="118"/>
      <c r="F351" s="118"/>
      <c r="G351" s="118"/>
      <c r="H351" s="118"/>
      <c r="I351" s="54" t="s">
        <v>5</v>
      </c>
      <c r="J351" s="54" t="s">
        <v>5</v>
      </c>
      <c r="K351" s="68" t="s">
        <v>5</v>
      </c>
      <c r="L351" s="80">
        <f>SUM(L352:L352)</f>
        <v>0</v>
      </c>
      <c r="M351" s="27"/>
      <c r="AI351" s="27" t="s">
        <v>8</v>
      </c>
      <c r="AS351" s="80">
        <f>SUM(AJ352:AJ352)</f>
        <v>0</v>
      </c>
      <c r="AT351" s="80">
        <f>SUM(AK352:AK352)</f>
        <v>0</v>
      </c>
      <c r="AU351" s="80">
        <f>SUM(AL352:AL352)</f>
        <v>0</v>
      </c>
    </row>
    <row r="352" spans="1:62" x14ac:dyDescent="0.2">
      <c r="A352" s="18" t="s">
        <v>280</v>
      </c>
      <c r="B352" s="18" t="s">
        <v>8</v>
      </c>
      <c r="C352" s="18" t="s">
        <v>452</v>
      </c>
      <c r="D352" s="111" t="s">
        <v>772</v>
      </c>
      <c r="E352" s="112"/>
      <c r="F352" s="112"/>
      <c r="G352" s="112"/>
      <c r="H352" s="112"/>
      <c r="I352" s="18" t="s">
        <v>782</v>
      </c>
      <c r="J352" s="26">
        <v>5.0999999999999996</v>
      </c>
      <c r="K352" s="69">
        <v>0</v>
      </c>
      <c r="L352" s="26">
        <f>J352*K352</f>
        <v>0</v>
      </c>
      <c r="M352" s="32" t="s">
        <v>874</v>
      </c>
      <c r="Z352" s="12">
        <f>IF(AQ352="5",BJ352,0)</f>
        <v>0</v>
      </c>
      <c r="AB352" s="12">
        <f>IF(AQ352="1",BH352,0)</f>
        <v>0</v>
      </c>
      <c r="AC352" s="12">
        <f>IF(AQ352="1",BI352,0)</f>
        <v>0</v>
      </c>
      <c r="AD352" s="12">
        <f>IF(AQ352="7",BH352,0)</f>
        <v>0</v>
      </c>
      <c r="AE352" s="12">
        <f>IF(AQ352="7",BI352,0)</f>
        <v>0</v>
      </c>
      <c r="AF352" s="12">
        <f>IF(AQ352="2",BH352,0)</f>
        <v>0</v>
      </c>
      <c r="AG352" s="12">
        <f>IF(AQ352="2",BI352,0)</f>
        <v>0</v>
      </c>
      <c r="AH352" s="12">
        <f>IF(AQ352="0",BJ352,0)</f>
        <v>0</v>
      </c>
      <c r="AI352" s="27" t="s">
        <v>8</v>
      </c>
      <c r="AJ352" s="26">
        <f>IF(AN352=0,L352,0)</f>
        <v>0</v>
      </c>
      <c r="AK352" s="26">
        <f>IF(AN352=15,L352,0)</f>
        <v>0</v>
      </c>
      <c r="AL352" s="26">
        <f>IF(AN352=21,L352,0)</f>
        <v>0</v>
      </c>
      <c r="AN352" s="12">
        <v>21</v>
      </c>
      <c r="AO352" s="12">
        <f>K352*0.319676113360324</f>
        <v>0</v>
      </c>
      <c r="AP352" s="12">
        <f>K352*(1-0.319676113360324)</f>
        <v>0</v>
      </c>
      <c r="AQ352" s="32" t="s">
        <v>86</v>
      </c>
      <c r="AV352" s="12">
        <f>AW352+AX352</f>
        <v>0</v>
      </c>
      <c r="AW352" s="12">
        <f>J352*AO352</f>
        <v>0</v>
      </c>
      <c r="AX352" s="12">
        <f>J352*AP352</f>
        <v>0</v>
      </c>
      <c r="AY352" s="78" t="s">
        <v>912</v>
      </c>
      <c r="AZ352" s="78" t="s">
        <v>927</v>
      </c>
      <c r="BA352" s="27" t="s">
        <v>929</v>
      </c>
      <c r="BC352" s="12">
        <f>AW352+AX352</f>
        <v>0</v>
      </c>
      <c r="BD352" s="12">
        <f>K352/(100-BE352)*100</f>
        <v>0</v>
      </c>
      <c r="BE352" s="12">
        <v>0</v>
      </c>
      <c r="BF352" s="12">
        <f>352</f>
        <v>352</v>
      </c>
      <c r="BH352" s="26">
        <f>J352*AO352</f>
        <v>0</v>
      </c>
      <c r="BI352" s="26">
        <f>J352*AP352</f>
        <v>0</v>
      </c>
      <c r="BJ352" s="26">
        <f>J352*K352</f>
        <v>0</v>
      </c>
    </row>
    <row r="353" spans="1:62" x14ac:dyDescent="0.2">
      <c r="D353" s="157" t="s">
        <v>865</v>
      </c>
      <c r="E353" s="158"/>
      <c r="F353" s="158"/>
      <c r="G353" s="158"/>
      <c r="H353" s="158"/>
      <c r="K353" s="71"/>
    </row>
    <row r="354" spans="1:62" x14ac:dyDescent="0.2">
      <c r="A354" s="54"/>
      <c r="B354" s="19" t="s">
        <v>8</v>
      </c>
      <c r="C354" s="19" t="s">
        <v>37</v>
      </c>
      <c r="D354" s="117" t="s">
        <v>66</v>
      </c>
      <c r="E354" s="118"/>
      <c r="F354" s="118"/>
      <c r="G354" s="118"/>
      <c r="H354" s="118"/>
      <c r="I354" s="54" t="s">
        <v>5</v>
      </c>
      <c r="J354" s="54" t="s">
        <v>5</v>
      </c>
      <c r="K354" s="68" t="s">
        <v>5</v>
      </c>
      <c r="L354" s="80">
        <f>SUM(L355:L359)</f>
        <v>0</v>
      </c>
      <c r="M354" s="27"/>
      <c r="AI354" s="27" t="s">
        <v>8</v>
      </c>
      <c r="AS354" s="80">
        <f>SUM(AJ355:AJ359)</f>
        <v>0</v>
      </c>
      <c r="AT354" s="80">
        <f>SUM(AK355:AK359)</f>
        <v>0</v>
      </c>
      <c r="AU354" s="80">
        <f>SUM(AL355:AL359)</f>
        <v>0</v>
      </c>
    </row>
    <row r="355" spans="1:62" x14ac:dyDescent="0.2">
      <c r="A355" s="18" t="s">
        <v>281</v>
      </c>
      <c r="B355" s="18" t="s">
        <v>8</v>
      </c>
      <c r="C355" s="18" t="s">
        <v>453</v>
      </c>
      <c r="D355" s="111" t="s">
        <v>773</v>
      </c>
      <c r="E355" s="112"/>
      <c r="F355" s="112"/>
      <c r="G355" s="112"/>
      <c r="H355" s="112"/>
      <c r="I355" s="18" t="s">
        <v>786</v>
      </c>
      <c r="J355" s="26">
        <v>373.291</v>
      </c>
      <c r="K355" s="69">
        <v>0</v>
      </c>
      <c r="L355" s="26">
        <f>J355*K355</f>
        <v>0</v>
      </c>
      <c r="M355" s="32" t="s">
        <v>874</v>
      </c>
      <c r="Z355" s="12">
        <f>IF(AQ355="5",BJ355,0)</f>
        <v>0</v>
      </c>
      <c r="AB355" s="12">
        <f>IF(AQ355="1",BH355,0)</f>
        <v>0</v>
      </c>
      <c r="AC355" s="12">
        <f>IF(AQ355="1",BI355,0)</f>
        <v>0</v>
      </c>
      <c r="AD355" s="12">
        <f>IF(AQ355="7",BH355,0)</f>
        <v>0</v>
      </c>
      <c r="AE355" s="12">
        <f>IF(AQ355="7",BI355,0)</f>
        <v>0</v>
      </c>
      <c r="AF355" s="12">
        <f>IF(AQ355="2",BH355,0)</f>
        <v>0</v>
      </c>
      <c r="AG355" s="12">
        <f>IF(AQ355="2",BI355,0)</f>
        <v>0</v>
      </c>
      <c r="AH355" s="12">
        <f>IF(AQ355="0",BJ355,0)</f>
        <v>0</v>
      </c>
      <c r="AI355" s="27" t="s">
        <v>8</v>
      </c>
      <c r="AJ355" s="26">
        <f>IF(AN355=0,L355,0)</f>
        <v>0</v>
      </c>
      <c r="AK355" s="26">
        <f>IF(AN355=15,L355,0)</f>
        <v>0</v>
      </c>
      <c r="AL355" s="26">
        <f>IF(AN355=21,L355,0)</f>
        <v>0</v>
      </c>
      <c r="AN355" s="12">
        <v>21</v>
      </c>
      <c r="AO355" s="12">
        <f>K355*0</f>
        <v>0</v>
      </c>
      <c r="AP355" s="12">
        <f>K355*(1-0)</f>
        <v>0</v>
      </c>
      <c r="AQ355" s="32" t="s">
        <v>89</v>
      </c>
      <c r="AV355" s="12">
        <f>AW355+AX355</f>
        <v>0</v>
      </c>
      <c r="AW355" s="12">
        <f>J355*AO355</f>
        <v>0</v>
      </c>
      <c r="AX355" s="12">
        <f>J355*AP355</f>
        <v>0</v>
      </c>
      <c r="AY355" s="78" t="s">
        <v>911</v>
      </c>
      <c r="AZ355" s="78" t="s">
        <v>927</v>
      </c>
      <c r="BA355" s="27" t="s">
        <v>929</v>
      </c>
      <c r="BC355" s="12">
        <f>AW355+AX355</f>
        <v>0</v>
      </c>
      <c r="BD355" s="12">
        <f>K355/(100-BE355)*100</f>
        <v>0</v>
      </c>
      <c r="BE355" s="12">
        <v>0</v>
      </c>
      <c r="BF355" s="12">
        <f>355</f>
        <v>355</v>
      </c>
      <c r="BH355" s="26">
        <f>J355*AO355</f>
        <v>0</v>
      </c>
      <c r="BI355" s="26">
        <f>J355*AP355</f>
        <v>0</v>
      </c>
      <c r="BJ355" s="26">
        <f>J355*K355</f>
        <v>0</v>
      </c>
    </row>
    <row r="356" spans="1:62" x14ac:dyDescent="0.2">
      <c r="A356" s="18" t="s">
        <v>282</v>
      </c>
      <c r="B356" s="18" t="s">
        <v>8</v>
      </c>
      <c r="C356" s="18" t="s">
        <v>454</v>
      </c>
      <c r="D356" s="111" t="s">
        <v>774</v>
      </c>
      <c r="E356" s="112"/>
      <c r="F356" s="112"/>
      <c r="G356" s="112"/>
      <c r="H356" s="112"/>
      <c r="I356" s="18" t="s">
        <v>786</v>
      </c>
      <c r="J356" s="26">
        <v>7465.82</v>
      </c>
      <c r="K356" s="69">
        <v>0</v>
      </c>
      <c r="L356" s="26">
        <f>J356*K356</f>
        <v>0</v>
      </c>
      <c r="M356" s="32" t="s">
        <v>874</v>
      </c>
      <c r="Z356" s="12">
        <f>IF(AQ356="5",BJ356,0)</f>
        <v>0</v>
      </c>
      <c r="AB356" s="12">
        <f>IF(AQ356="1",BH356,0)</f>
        <v>0</v>
      </c>
      <c r="AC356" s="12">
        <f>IF(AQ356="1",BI356,0)</f>
        <v>0</v>
      </c>
      <c r="AD356" s="12">
        <f>IF(AQ356="7",BH356,0)</f>
        <v>0</v>
      </c>
      <c r="AE356" s="12">
        <f>IF(AQ356="7",BI356,0)</f>
        <v>0</v>
      </c>
      <c r="AF356" s="12">
        <f>IF(AQ356="2",BH356,0)</f>
        <v>0</v>
      </c>
      <c r="AG356" s="12">
        <f>IF(AQ356="2",BI356,0)</f>
        <v>0</v>
      </c>
      <c r="AH356" s="12">
        <f>IF(AQ356="0",BJ356,0)</f>
        <v>0</v>
      </c>
      <c r="AI356" s="27" t="s">
        <v>8</v>
      </c>
      <c r="AJ356" s="26">
        <f>IF(AN356=0,L356,0)</f>
        <v>0</v>
      </c>
      <c r="AK356" s="26">
        <f>IF(AN356=15,L356,0)</f>
        <v>0</v>
      </c>
      <c r="AL356" s="26">
        <f>IF(AN356=21,L356,0)</f>
        <v>0</v>
      </c>
      <c r="AN356" s="12">
        <v>21</v>
      </c>
      <c r="AO356" s="12">
        <f>K356*0</f>
        <v>0</v>
      </c>
      <c r="AP356" s="12">
        <f>K356*(1-0)</f>
        <v>0</v>
      </c>
      <c r="AQ356" s="32" t="s">
        <v>89</v>
      </c>
      <c r="AV356" s="12">
        <f>AW356+AX356</f>
        <v>0</v>
      </c>
      <c r="AW356" s="12">
        <f>J356*AO356</f>
        <v>0</v>
      </c>
      <c r="AX356" s="12">
        <f>J356*AP356</f>
        <v>0</v>
      </c>
      <c r="AY356" s="78" t="s">
        <v>911</v>
      </c>
      <c r="AZ356" s="78" t="s">
        <v>927</v>
      </c>
      <c r="BA356" s="27" t="s">
        <v>929</v>
      </c>
      <c r="BC356" s="12">
        <f>AW356+AX356</f>
        <v>0</v>
      </c>
      <c r="BD356" s="12">
        <f>K356/(100-BE356)*100</f>
        <v>0</v>
      </c>
      <c r="BE356" s="12">
        <v>0</v>
      </c>
      <c r="BF356" s="12">
        <f>356</f>
        <v>356</v>
      </c>
      <c r="BH356" s="26">
        <f>J356*AO356</f>
        <v>0</v>
      </c>
      <c r="BI356" s="26">
        <f>J356*AP356</f>
        <v>0</v>
      </c>
      <c r="BJ356" s="26">
        <f>J356*K356</f>
        <v>0</v>
      </c>
    </row>
    <row r="357" spans="1:62" x14ac:dyDescent="0.2">
      <c r="A357" s="18" t="s">
        <v>841</v>
      </c>
      <c r="B357" s="18" t="s">
        <v>8</v>
      </c>
      <c r="C357" s="18" t="s">
        <v>455</v>
      </c>
      <c r="D357" s="111" t="s">
        <v>777</v>
      </c>
      <c r="E357" s="112"/>
      <c r="F357" s="112"/>
      <c r="G357" s="112"/>
      <c r="H357" s="112"/>
      <c r="I357" s="18" t="s">
        <v>786</v>
      </c>
      <c r="J357" s="26">
        <v>373.291</v>
      </c>
      <c r="K357" s="69">
        <v>0</v>
      </c>
      <c r="L357" s="26">
        <f>J357*K357</f>
        <v>0</v>
      </c>
      <c r="M357" s="32" t="s">
        <v>874</v>
      </c>
      <c r="Z357" s="12">
        <f>IF(AQ357="5",BJ357,0)</f>
        <v>0</v>
      </c>
      <c r="AB357" s="12">
        <f>IF(AQ357="1",BH357,0)</f>
        <v>0</v>
      </c>
      <c r="AC357" s="12">
        <f>IF(AQ357="1",BI357,0)</f>
        <v>0</v>
      </c>
      <c r="AD357" s="12">
        <f>IF(AQ357="7",BH357,0)</f>
        <v>0</v>
      </c>
      <c r="AE357" s="12">
        <f>IF(AQ357="7",BI357,0)</f>
        <v>0</v>
      </c>
      <c r="AF357" s="12">
        <f>IF(AQ357="2",BH357,0)</f>
        <v>0</v>
      </c>
      <c r="AG357" s="12">
        <f>IF(AQ357="2",BI357,0)</f>
        <v>0</v>
      </c>
      <c r="AH357" s="12">
        <f>IF(AQ357="0",BJ357,0)</f>
        <v>0</v>
      </c>
      <c r="AI357" s="27" t="s">
        <v>8</v>
      </c>
      <c r="AJ357" s="26">
        <f>IF(AN357=0,L357,0)</f>
        <v>0</v>
      </c>
      <c r="AK357" s="26">
        <f>IF(AN357=15,L357,0)</f>
        <v>0</v>
      </c>
      <c r="AL357" s="26">
        <f>IF(AN357=21,L357,0)</f>
        <v>0</v>
      </c>
      <c r="AN357" s="12">
        <v>21</v>
      </c>
      <c r="AO357" s="12">
        <f>K357*0</f>
        <v>0</v>
      </c>
      <c r="AP357" s="12">
        <f>K357*(1-0)</f>
        <v>0</v>
      </c>
      <c r="AQ357" s="32" t="s">
        <v>89</v>
      </c>
      <c r="AV357" s="12">
        <f>AW357+AX357</f>
        <v>0</v>
      </c>
      <c r="AW357" s="12">
        <f>J357*AO357</f>
        <v>0</v>
      </c>
      <c r="AX357" s="12">
        <f>J357*AP357</f>
        <v>0</v>
      </c>
      <c r="AY357" s="78" t="s">
        <v>911</v>
      </c>
      <c r="AZ357" s="78" t="s">
        <v>927</v>
      </c>
      <c r="BA357" s="27" t="s">
        <v>929</v>
      </c>
      <c r="BC357" s="12">
        <f>AW357+AX357</f>
        <v>0</v>
      </c>
      <c r="BD357" s="12">
        <f>K357/(100-BE357)*100</f>
        <v>0</v>
      </c>
      <c r="BE357" s="12">
        <v>0</v>
      </c>
      <c r="BF357" s="12">
        <f>357</f>
        <v>357</v>
      </c>
      <c r="BH357" s="26">
        <f>J357*AO357</f>
        <v>0</v>
      </c>
      <c r="BI357" s="26">
        <f>J357*AP357</f>
        <v>0</v>
      </c>
      <c r="BJ357" s="26">
        <f>J357*K357</f>
        <v>0</v>
      </c>
    </row>
    <row r="358" spans="1:62" x14ac:dyDescent="0.2">
      <c r="C358" s="62" t="s">
        <v>296</v>
      </c>
      <c r="D358" s="113" t="s">
        <v>778</v>
      </c>
      <c r="E358" s="114"/>
      <c r="F358" s="114"/>
      <c r="G358" s="114"/>
      <c r="H358" s="114"/>
      <c r="I358" s="114"/>
      <c r="J358" s="114"/>
      <c r="K358" s="154"/>
      <c r="L358" s="114"/>
      <c r="M358" s="114"/>
    </row>
    <row r="359" spans="1:62" x14ac:dyDescent="0.2">
      <c r="A359" s="56" t="s">
        <v>839</v>
      </c>
      <c r="B359" s="56" t="s">
        <v>8</v>
      </c>
      <c r="C359" s="56" t="s">
        <v>456</v>
      </c>
      <c r="D359" s="155" t="s">
        <v>779</v>
      </c>
      <c r="E359" s="156"/>
      <c r="F359" s="156"/>
      <c r="G359" s="156"/>
      <c r="H359" s="156"/>
      <c r="I359" s="56" t="s">
        <v>786</v>
      </c>
      <c r="J359" s="64">
        <v>373.291</v>
      </c>
      <c r="K359" s="73">
        <v>0</v>
      </c>
      <c r="L359" s="64">
        <f>J359*K359</f>
        <v>0</v>
      </c>
      <c r="M359" s="77" t="s">
        <v>875</v>
      </c>
      <c r="Z359" s="12">
        <f>IF(AQ359="5",BJ359,0)</f>
        <v>0</v>
      </c>
      <c r="AB359" s="12">
        <f>IF(AQ359="1",BH359,0)</f>
        <v>0</v>
      </c>
      <c r="AC359" s="12">
        <f>IF(AQ359="1",BI359,0)</f>
        <v>0</v>
      </c>
      <c r="AD359" s="12">
        <f>IF(AQ359="7",BH359,0)</f>
        <v>0</v>
      </c>
      <c r="AE359" s="12">
        <f>IF(AQ359="7",BI359,0)</f>
        <v>0</v>
      </c>
      <c r="AF359" s="12">
        <f>IF(AQ359="2",BH359,0)</f>
        <v>0</v>
      </c>
      <c r="AG359" s="12">
        <f>IF(AQ359="2",BI359,0)</f>
        <v>0</v>
      </c>
      <c r="AH359" s="12">
        <f>IF(AQ359="0",BJ359,0)</f>
        <v>0</v>
      </c>
      <c r="AI359" s="27" t="s">
        <v>8</v>
      </c>
      <c r="AJ359" s="26">
        <f>IF(AN359=0,L359,0)</f>
        <v>0</v>
      </c>
      <c r="AK359" s="26">
        <f>IF(AN359=15,L359,0)</f>
        <v>0</v>
      </c>
      <c r="AL359" s="26">
        <f>IF(AN359=21,L359,0)</f>
        <v>0</v>
      </c>
      <c r="AN359" s="12">
        <v>21</v>
      </c>
      <c r="AO359" s="12">
        <f>K359*0</f>
        <v>0</v>
      </c>
      <c r="AP359" s="12">
        <f>K359*(1-0)</f>
        <v>0</v>
      </c>
      <c r="AQ359" s="32" t="s">
        <v>89</v>
      </c>
      <c r="AV359" s="12">
        <f>AW359+AX359</f>
        <v>0</v>
      </c>
      <c r="AW359" s="12">
        <f>J359*AO359</f>
        <v>0</v>
      </c>
      <c r="AX359" s="12">
        <f>J359*AP359</f>
        <v>0</v>
      </c>
      <c r="AY359" s="78" t="s">
        <v>911</v>
      </c>
      <c r="AZ359" s="78" t="s">
        <v>927</v>
      </c>
      <c r="BA359" s="27" t="s">
        <v>929</v>
      </c>
      <c r="BC359" s="12">
        <f>AW359+AX359</f>
        <v>0</v>
      </c>
      <c r="BD359" s="12">
        <f>K359/(100-BE359)*100</f>
        <v>0</v>
      </c>
      <c r="BE359" s="12">
        <v>0</v>
      </c>
      <c r="BF359" s="12">
        <f>359</f>
        <v>359</v>
      </c>
      <c r="BH359" s="26">
        <f>J359*AO359</f>
        <v>0</v>
      </c>
      <c r="BI359" s="26">
        <f>J359*AP359</f>
        <v>0</v>
      </c>
      <c r="BJ359" s="26">
        <f>J359*K359</f>
        <v>0</v>
      </c>
    </row>
    <row r="360" spans="1:62" x14ac:dyDescent="0.2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15">
        <f>L13+L28+L37+L46+L51+L58+L64+L67+L136+L143+L145+L147+L158+L165+L180+L183+L190+L207+L219+L229+L253+L258+L263+L270+L274+L276+L283+L297+L302+L311+L315+L318+L322+L334+L339+L346+L349+L351+L354</f>
        <v>0</v>
      </c>
      <c r="M360" s="6"/>
    </row>
    <row r="361" spans="1:62" ht="11.25" customHeight="1" x14ac:dyDescent="0.2">
      <c r="A361" s="7" t="s">
        <v>9</v>
      </c>
    </row>
    <row r="362" spans="1:62" ht="38.450000000000003" customHeight="1" x14ac:dyDescent="0.2">
      <c r="A362" s="87" t="s">
        <v>10</v>
      </c>
      <c r="B362" s="88"/>
      <c r="C362" s="88"/>
      <c r="D362" s="88"/>
      <c r="E362" s="88"/>
      <c r="F362" s="88"/>
      <c r="G362" s="88"/>
      <c r="H362" s="88"/>
      <c r="I362" s="88"/>
      <c r="J362" s="88"/>
      <c r="K362" s="88"/>
      <c r="L362" s="88"/>
      <c r="M362" s="88"/>
    </row>
  </sheetData>
  <sheetProtection password="C4B7" sheet="1" objects="1" scenarios="1"/>
  <mergeCells count="376">
    <mergeCell ref="A1:M1"/>
    <mergeCell ref="A2:C3"/>
    <mergeCell ref="D2:D3"/>
    <mergeCell ref="E2:F3"/>
    <mergeCell ref="G2:G3"/>
    <mergeCell ref="H2:H3"/>
    <mergeCell ref="I2:M3"/>
    <mergeCell ref="A6:C7"/>
    <mergeCell ref="D6:D7"/>
    <mergeCell ref="E6:F7"/>
    <mergeCell ref="G6:G7"/>
    <mergeCell ref="H6:H7"/>
    <mergeCell ref="I6:M7"/>
    <mergeCell ref="A4:C5"/>
    <mergeCell ref="D4:D5"/>
    <mergeCell ref="E4:F5"/>
    <mergeCell ref="G4:G5"/>
    <mergeCell ref="H4:H5"/>
    <mergeCell ref="I4:M5"/>
    <mergeCell ref="D10:H10"/>
    <mergeCell ref="D11:H11"/>
    <mergeCell ref="D12:H12"/>
    <mergeCell ref="D13:H13"/>
    <mergeCell ref="D14:H14"/>
    <mergeCell ref="D15:M15"/>
    <mergeCell ref="A8:C9"/>
    <mergeCell ref="D8:D9"/>
    <mergeCell ref="E8:F9"/>
    <mergeCell ref="G8:G9"/>
    <mergeCell ref="H8:H9"/>
    <mergeCell ref="I8:M9"/>
    <mergeCell ref="D22:H22"/>
    <mergeCell ref="D23:M23"/>
    <mergeCell ref="D24:H24"/>
    <mergeCell ref="D25:H25"/>
    <mergeCell ref="D26:H26"/>
    <mergeCell ref="D27:H27"/>
    <mergeCell ref="D16:H16"/>
    <mergeCell ref="D17:H17"/>
    <mergeCell ref="D18:H18"/>
    <mergeCell ref="D19:M19"/>
    <mergeCell ref="D20:H20"/>
    <mergeCell ref="D21:M21"/>
    <mergeCell ref="D34:M34"/>
    <mergeCell ref="D35:H35"/>
    <mergeCell ref="D36:H36"/>
    <mergeCell ref="D37:H37"/>
    <mergeCell ref="D38:H38"/>
    <mergeCell ref="D39:M39"/>
    <mergeCell ref="D28:H28"/>
    <mergeCell ref="D29:H29"/>
    <mergeCell ref="D30:H30"/>
    <mergeCell ref="D31:H31"/>
    <mergeCell ref="D32:M32"/>
    <mergeCell ref="D33:H33"/>
    <mergeCell ref="D46:H46"/>
    <mergeCell ref="D47:H47"/>
    <mergeCell ref="D48:M48"/>
    <mergeCell ref="D49:H49"/>
    <mergeCell ref="D50:M50"/>
    <mergeCell ref="D51:H51"/>
    <mergeCell ref="D40:M40"/>
    <mergeCell ref="D41:M41"/>
    <mergeCell ref="D42:M42"/>
    <mergeCell ref="D43:H43"/>
    <mergeCell ref="D44:H44"/>
    <mergeCell ref="D45:M45"/>
    <mergeCell ref="D58:H58"/>
    <mergeCell ref="D59:H59"/>
    <mergeCell ref="D60:H60"/>
    <mergeCell ref="D61:M61"/>
    <mergeCell ref="D62:H62"/>
    <mergeCell ref="D63:H63"/>
    <mergeCell ref="D52:H52"/>
    <mergeCell ref="D53:H53"/>
    <mergeCell ref="D54:H54"/>
    <mergeCell ref="D55:H55"/>
    <mergeCell ref="D56:H56"/>
    <mergeCell ref="D57:H57"/>
    <mergeCell ref="D70:H70"/>
    <mergeCell ref="D71:H71"/>
    <mergeCell ref="D72:H72"/>
    <mergeCell ref="D73:M73"/>
    <mergeCell ref="D74:H74"/>
    <mergeCell ref="D75:H75"/>
    <mergeCell ref="D64:H64"/>
    <mergeCell ref="D65:H65"/>
    <mergeCell ref="D66:M66"/>
    <mergeCell ref="D67:H67"/>
    <mergeCell ref="D68:H68"/>
    <mergeCell ref="D69:M69"/>
    <mergeCell ref="D82:H82"/>
    <mergeCell ref="D83:H83"/>
    <mergeCell ref="D84:H84"/>
    <mergeCell ref="D85:H85"/>
    <mergeCell ref="D86:H86"/>
    <mergeCell ref="D87:H87"/>
    <mergeCell ref="D76:M76"/>
    <mergeCell ref="D77:H77"/>
    <mergeCell ref="D78:M78"/>
    <mergeCell ref="D79:H79"/>
    <mergeCell ref="D80:H80"/>
    <mergeCell ref="D81:H81"/>
    <mergeCell ref="D94:H94"/>
    <mergeCell ref="D95:H95"/>
    <mergeCell ref="D96:H96"/>
    <mergeCell ref="D97:H97"/>
    <mergeCell ref="D98:H98"/>
    <mergeCell ref="D99:H99"/>
    <mergeCell ref="D88:H88"/>
    <mergeCell ref="D89:H89"/>
    <mergeCell ref="D90:H90"/>
    <mergeCell ref="D91:H91"/>
    <mergeCell ref="D92:H92"/>
    <mergeCell ref="D93:H93"/>
    <mergeCell ref="D106:H106"/>
    <mergeCell ref="D107:H107"/>
    <mergeCell ref="D108:H108"/>
    <mergeCell ref="D109:H109"/>
    <mergeCell ref="D110:H110"/>
    <mergeCell ref="D111:H111"/>
    <mergeCell ref="D100:H100"/>
    <mergeCell ref="D101:H101"/>
    <mergeCell ref="D102:H102"/>
    <mergeCell ref="D103:H103"/>
    <mergeCell ref="D104:H104"/>
    <mergeCell ref="D105:H105"/>
    <mergeCell ref="D118:H118"/>
    <mergeCell ref="D119:H119"/>
    <mergeCell ref="D120:H120"/>
    <mergeCell ref="D121:H121"/>
    <mergeCell ref="D122:H122"/>
    <mergeCell ref="D123:H123"/>
    <mergeCell ref="D112:H112"/>
    <mergeCell ref="D113:H113"/>
    <mergeCell ref="D114:H114"/>
    <mergeCell ref="D115:H115"/>
    <mergeCell ref="D116:H116"/>
    <mergeCell ref="D117:H117"/>
    <mergeCell ref="D130:H130"/>
    <mergeCell ref="D131:H131"/>
    <mergeCell ref="D132:H132"/>
    <mergeCell ref="D133:H133"/>
    <mergeCell ref="D134:H134"/>
    <mergeCell ref="D135:H135"/>
    <mergeCell ref="D124:H124"/>
    <mergeCell ref="D125:H125"/>
    <mergeCell ref="D126:H126"/>
    <mergeCell ref="D127:H127"/>
    <mergeCell ref="D128:H128"/>
    <mergeCell ref="D129:H129"/>
    <mergeCell ref="D142:M142"/>
    <mergeCell ref="D143:H143"/>
    <mergeCell ref="D144:H144"/>
    <mergeCell ref="D145:H145"/>
    <mergeCell ref="D146:H146"/>
    <mergeCell ref="D147:H147"/>
    <mergeCell ref="D136:H136"/>
    <mergeCell ref="D137:H137"/>
    <mergeCell ref="D138:M138"/>
    <mergeCell ref="D139:H139"/>
    <mergeCell ref="D140:H140"/>
    <mergeCell ref="D141:H141"/>
    <mergeCell ref="D154:H154"/>
    <mergeCell ref="D155:H155"/>
    <mergeCell ref="D156:H156"/>
    <mergeCell ref="D157:M157"/>
    <mergeCell ref="D158:H158"/>
    <mergeCell ref="D159:H159"/>
    <mergeCell ref="D148:H148"/>
    <mergeCell ref="D149:H149"/>
    <mergeCell ref="D150:H150"/>
    <mergeCell ref="D151:H151"/>
    <mergeCell ref="D152:H152"/>
    <mergeCell ref="D153:H153"/>
    <mergeCell ref="D166:H166"/>
    <mergeCell ref="D167:M167"/>
    <mergeCell ref="D168:H168"/>
    <mergeCell ref="D169:H169"/>
    <mergeCell ref="D170:H170"/>
    <mergeCell ref="D171:M171"/>
    <mergeCell ref="D160:H160"/>
    <mergeCell ref="D161:H161"/>
    <mergeCell ref="D162:H162"/>
    <mergeCell ref="D163:H163"/>
    <mergeCell ref="D164:H164"/>
    <mergeCell ref="D165:H165"/>
    <mergeCell ref="D178:M178"/>
    <mergeCell ref="D179:M179"/>
    <mergeCell ref="D180:H180"/>
    <mergeCell ref="D181:H181"/>
    <mergeCell ref="D182:M182"/>
    <mergeCell ref="D183:H183"/>
    <mergeCell ref="D172:H172"/>
    <mergeCell ref="D173:M173"/>
    <mergeCell ref="D174:H174"/>
    <mergeCell ref="D175:H175"/>
    <mergeCell ref="D176:H176"/>
    <mergeCell ref="D177:H177"/>
    <mergeCell ref="D190:H190"/>
    <mergeCell ref="D191:H191"/>
    <mergeCell ref="D192:H192"/>
    <mergeCell ref="D193:H193"/>
    <mergeCell ref="D194:M194"/>
    <mergeCell ref="D195:H195"/>
    <mergeCell ref="D184:H184"/>
    <mergeCell ref="D185:H185"/>
    <mergeCell ref="D186:H186"/>
    <mergeCell ref="D187:H187"/>
    <mergeCell ref="D188:M188"/>
    <mergeCell ref="D189:H189"/>
    <mergeCell ref="D202:H202"/>
    <mergeCell ref="D203:M203"/>
    <mergeCell ref="D204:H204"/>
    <mergeCell ref="D205:M205"/>
    <mergeCell ref="D206:H206"/>
    <mergeCell ref="D207:H207"/>
    <mergeCell ref="D196:M196"/>
    <mergeCell ref="D197:H197"/>
    <mergeCell ref="D198:M198"/>
    <mergeCell ref="D199:H199"/>
    <mergeCell ref="D200:H200"/>
    <mergeCell ref="D201:M201"/>
    <mergeCell ref="D214:M214"/>
    <mergeCell ref="D215:H215"/>
    <mergeCell ref="D216:H216"/>
    <mergeCell ref="D217:M217"/>
    <mergeCell ref="D218:H218"/>
    <mergeCell ref="D219:H219"/>
    <mergeCell ref="D208:H208"/>
    <mergeCell ref="D209:H209"/>
    <mergeCell ref="D210:H210"/>
    <mergeCell ref="D211:H211"/>
    <mergeCell ref="D212:H212"/>
    <mergeCell ref="D213:H213"/>
    <mergeCell ref="D226:H226"/>
    <mergeCell ref="D227:M227"/>
    <mergeCell ref="D228:H228"/>
    <mergeCell ref="D229:H229"/>
    <mergeCell ref="D230:H230"/>
    <mergeCell ref="D231:M231"/>
    <mergeCell ref="D220:H220"/>
    <mergeCell ref="D221:M221"/>
    <mergeCell ref="D222:H222"/>
    <mergeCell ref="D223:H223"/>
    <mergeCell ref="D224:M224"/>
    <mergeCell ref="D225:H225"/>
    <mergeCell ref="D238:H238"/>
    <mergeCell ref="D239:H239"/>
    <mergeCell ref="D240:H240"/>
    <mergeCell ref="D241:M241"/>
    <mergeCell ref="D242:H242"/>
    <mergeCell ref="D243:H243"/>
    <mergeCell ref="D232:H232"/>
    <mergeCell ref="D233:M233"/>
    <mergeCell ref="D234:H234"/>
    <mergeCell ref="D235:M235"/>
    <mergeCell ref="D236:H236"/>
    <mergeCell ref="D237:H237"/>
    <mergeCell ref="D250:H250"/>
    <mergeCell ref="D251:M251"/>
    <mergeCell ref="D252:H252"/>
    <mergeCell ref="D253:H253"/>
    <mergeCell ref="D254:H254"/>
    <mergeCell ref="D255:M255"/>
    <mergeCell ref="D244:M244"/>
    <mergeCell ref="D245:H245"/>
    <mergeCell ref="D246:H246"/>
    <mergeCell ref="D247:M247"/>
    <mergeCell ref="D248:H248"/>
    <mergeCell ref="D249:H249"/>
    <mergeCell ref="D262:M262"/>
    <mergeCell ref="D263:H263"/>
    <mergeCell ref="D264:H264"/>
    <mergeCell ref="D265:H265"/>
    <mergeCell ref="D266:H266"/>
    <mergeCell ref="D267:M267"/>
    <mergeCell ref="D256:H256"/>
    <mergeCell ref="D257:H257"/>
    <mergeCell ref="D258:H258"/>
    <mergeCell ref="D259:H259"/>
    <mergeCell ref="D260:H260"/>
    <mergeCell ref="D261:H261"/>
    <mergeCell ref="D274:H274"/>
    <mergeCell ref="D275:H275"/>
    <mergeCell ref="D276:H276"/>
    <mergeCell ref="D277:H277"/>
    <mergeCell ref="D278:H278"/>
    <mergeCell ref="D279:H279"/>
    <mergeCell ref="D268:H268"/>
    <mergeCell ref="D269:M269"/>
    <mergeCell ref="D270:H270"/>
    <mergeCell ref="D271:H271"/>
    <mergeCell ref="D272:H272"/>
    <mergeCell ref="D273:M273"/>
    <mergeCell ref="D286:H286"/>
    <mergeCell ref="D287:H287"/>
    <mergeCell ref="D288:H288"/>
    <mergeCell ref="D289:M289"/>
    <mergeCell ref="D290:H290"/>
    <mergeCell ref="D291:M291"/>
    <mergeCell ref="D280:M280"/>
    <mergeCell ref="D281:H281"/>
    <mergeCell ref="D282:H282"/>
    <mergeCell ref="D283:H283"/>
    <mergeCell ref="D284:H284"/>
    <mergeCell ref="D285:M285"/>
    <mergeCell ref="D298:H298"/>
    <mergeCell ref="D299:H299"/>
    <mergeCell ref="D300:H300"/>
    <mergeCell ref="D301:M301"/>
    <mergeCell ref="D302:H302"/>
    <mergeCell ref="D303:H303"/>
    <mergeCell ref="D292:H292"/>
    <mergeCell ref="D293:M293"/>
    <mergeCell ref="D294:H294"/>
    <mergeCell ref="D295:H295"/>
    <mergeCell ref="D296:H296"/>
    <mergeCell ref="D297:H297"/>
    <mergeCell ref="D310:M310"/>
    <mergeCell ref="D311:H311"/>
    <mergeCell ref="D312:H312"/>
    <mergeCell ref="D313:H313"/>
    <mergeCell ref="D314:M314"/>
    <mergeCell ref="D315:H315"/>
    <mergeCell ref="D304:M304"/>
    <mergeCell ref="D305:M305"/>
    <mergeCell ref="D306:M306"/>
    <mergeCell ref="D307:M307"/>
    <mergeCell ref="D308:H308"/>
    <mergeCell ref="D309:H309"/>
    <mergeCell ref="D322:H322"/>
    <mergeCell ref="D323:H323"/>
    <mergeCell ref="D324:M324"/>
    <mergeCell ref="D325:H325"/>
    <mergeCell ref="D326:M326"/>
    <mergeCell ref="D327:H327"/>
    <mergeCell ref="D316:H316"/>
    <mergeCell ref="D317:H317"/>
    <mergeCell ref="D318:H318"/>
    <mergeCell ref="D319:H319"/>
    <mergeCell ref="D320:M320"/>
    <mergeCell ref="D321:H321"/>
    <mergeCell ref="D334:H334"/>
    <mergeCell ref="D335:H335"/>
    <mergeCell ref="D336:H336"/>
    <mergeCell ref="D337:H337"/>
    <mergeCell ref="D338:H338"/>
    <mergeCell ref="D339:H339"/>
    <mergeCell ref="D328:M328"/>
    <mergeCell ref="D329:H329"/>
    <mergeCell ref="D330:H330"/>
    <mergeCell ref="D331:H331"/>
    <mergeCell ref="D332:M332"/>
    <mergeCell ref="D333:H333"/>
    <mergeCell ref="D346:H346"/>
    <mergeCell ref="D347:H347"/>
    <mergeCell ref="D348:H348"/>
    <mergeCell ref="D349:H349"/>
    <mergeCell ref="D350:H350"/>
    <mergeCell ref="D351:H351"/>
    <mergeCell ref="D340:H340"/>
    <mergeCell ref="D341:H341"/>
    <mergeCell ref="D342:H342"/>
    <mergeCell ref="D343:H343"/>
    <mergeCell ref="D344:H344"/>
    <mergeCell ref="D345:H345"/>
    <mergeCell ref="D358:M358"/>
    <mergeCell ref="D359:H359"/>
    <mergeCell ref="A362:M362"/>
    <mergeCell ref="D352:H352"/>
    <mergeCell ref="D353:H353"/>
    <mergeCell ref="D354:H354"/>
    <mergeCell ref="D355:H355"/>
    <mergeCell ref="D356:H356"/>
    <mergeCell ref="D357:H357"/>
  </mergeCells>
  <pageMargins left="0.39400000000000002" right="0.39400000000000002" top="0.59099999999999997" bottom="0.59099999999999997" header="0.5" footer="0.5"/>
  <pageSetup paperSize="0" fitToHeight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Rozpočet - Jen podskupiny</vt:lpstr>
      <vt:lpstr>Rozpočet - Jen objekty celkem</vt:lpstr>
      <vt:lpstr>Výkaz výměr</vt:lpstr>
      <vt:lpstr>Krycí list rozpočtu</vt:lpstr>
      <vt:lpstr>Stavební 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Beck</dc:creator>
  <cp:lastModifiedBy>Jiří Zapletal</cp:lastModifiedBy>
  <dcterms:created xsi:type="dcterms:W3CDTF">2019-09-05T07:19:49Z</dcterms:created>
  <dcterms:modified xsi:type="dcterms:W3CDTF">2023-05-31T09:12:44Z</dcterms:modified>
</cp:coreProperties>
</file>